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10" yWindow="65386" windowWidth="1173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Rick</author>
  </authors>
  <commentList>
    <comment ref="S13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AS2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Tests for 6 days
</t>
        </r>
      </text>
    </comment>
    <comment ref="AS3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Tests for over 6 days
</t>
        </r>
      </text>
    </comment>
    <comment ref="AS4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Checks for 40 days.  No check for States with tax
Different formula
</t>
        </r>
      </text>
    </comment>
    <comment ref="AT2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adds if days in other season
</t>
        </r>
      </text>
    </comment>
    <comment ref="R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cost if weekend marked.
</t>
        </r>
      </text>
    </comment>
    <comment ref="S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tax cost if Bonus Time.</t>
        </r>
      </text>
    </comment>
    <comment ref="U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Weekday data</t>
        </r>
      </text>
    </comment>
    <comment ref="V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Weekend data</t>
        </r>
      </text>
    </comment>
    <comment ref="W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cost</t>
        </r>
      </text>
    </comment>
    <comment ref="X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percentage
</t>
        </r>
      </text>
    </comment>
    <comment ref="Y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nightly cost only when in season.</t>
        </r>
      </text>
    </comment>
    <comment ref="Z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our base cost for over 60 day rental.  Does not include any overhead, labor, etc.  Marginal cost adjusted to include $20 reservation fee and $25 for labor.  No overhead costs included here.</t>
        </r>
      </text>
    </comment>
    <comment ref="AA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Enters correct cost, either over 60 or under 60.</t>
        </r>
      </text>
    </comment>
    <comment ref="AC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Marginal cost for under 60 day rental adjusted to include $20 reservation fee and $25 for labor.  No overhead costs included here.</t>
        </r>
      </text>
    </comment>
    <comment ref="AD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Check 40 day and compute actual cost.</t>
        </r>
      </text>
    </comment>
    <comment ref="S14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5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6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7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9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2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3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4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8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1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0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5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6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7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8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9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</commentList>
</comments>
</file>

<file path=xl/sharedStrings.xml><?xml version="1.0" encoding="utf-8"?>
<sst xmlns="http://schemas.openxmlformats.org/spreadsheetml/2006/main" count="60" uniqueCount="50">
  <si>
    <t>For your comparison</t>
  </si>
  <si>
    <t>DATE COMPUTER</t>
  </si>
  <si>
    <t>Low rate multiplier</t>
  </si>
  <si>
    <t>Weekend Calculator</t>
  </si>
  <si>
    <t>Days from booking to arrival</t>
  </si>
  <si>
    <t>Arrival Date</t>
  </si>
  <si>
    <t xml:space="preserve"> </t>
  </si>
  <si>
    <t>From</t>
  </si>
  <si>
    <t>To</t>
  </si>
  <si>
    <t>Over 60</t>
  </si>
  <si>
    <t>Under 60</t>
  </si>
  <si>
    <t>Under 40</t>
  </si>
  <si>
    <t>Departure Date</t>
  </si>
  <si>
    <t>Lowest rate available in low season</t>
  </si>
  <si>
    <t>Number of nights</t>
  </si>
  <si>
    <t>Normal discounted rate (High Season)</t>
  </si>
  <si>
    <t>40-60</t>
  </si>
  <si>
    <t>Nightly cost</t>
  </si>
  <si>
    <t>Today is</t>
  </si>
  <si>
    <t>days from your reservation.</t>
  </si>
  <si>
    <t>Subtotal</t>
  </si>
  <si>
    <t xml:space="preserve">Bookings 40 days or less in advance </t>
  </si>
  <si>
    <t>Cleaning Reservation Fee</t>
  </si>
  <si>
    <t xml:space="preserve">Bookings 60 days or less in advance </t>
  </si>
  <si>
    <t>Total including all taxes</t>
  </si>
  <si>
    <t>Over 60 days in advance, your rate is</t>
  </si>
  <si>
    <t>Enter number of Fri/Sat. Nights</t>
  </si>
  <si>
    <t>Discount Code</t>
  </si>
  <si>
    <t>Discount Price</t>
  </si>
  <si>
    <t>LRA</t>
  </si>
  <si>
    <t>Name + Bedrooms</t>
  </si>
  <si>
    <t>Orig Rate</t>
  </si>
  <si>
    <t>Day</t>
  </si>
  <si>
    <t>End</t>
  </si>
  <si>
    <t>Rate 1</t>
  </si>
  <si>
    <t>Rate 2</t>
  </si>
  <si>
    <t>Rate 3</t>
  </si>
  <si>
    <t>Rate 4</t>
  </si>
  <si>
    <t>40 Day rate</t>
  </si>
  <si>
    <t>Multiplier</t>
  </si>
  <si>
    <t>R2</t>
  </si>
  <si>
    <t>$/point</t>
  </si>
  <si>
    <t>Tax</t>
  </si>
  <si>
    <t>P</t>
  </si>
  <si>
    <t>B</t>
  </si>
  <si>
    <t>Weekend</t>
  </si>
  <si>
    <t>Higher</t>
  </si>
  <si>
    <t>Yes</t>
  </si>
  <si>
    <t>Enter your arrival and departure dates (example 9/15), if 2013 (example 2/10/2013)</t>
  </si>
  <si>
    <t>Point Brown Studio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</si>
</sst>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\$#,##0;[Red]\$#,##0"/>
    <numFmt numFmtId="167" formatCode="\$#,##0"/>
    <numFmt numFmtId="168" formatCode="m/d/yy;@"/>
    <numFmt numFmtId="169" formatCode="0.00000"/>
    <numFmt numFmtId="170" formatCode="0.0000"/>
    <numFmt numFmtId="171" formatCode="0.000"/>
    <numFmt numFmtId="172" formatCode="_(* #,##0.0_);_(* \(#,##0.0\);_(* &quot;-&quot;?_);_(@_)"/>
    <numFmt numFmtId="173" formatCode="0.0%"/>
    <numFmt numFmtId="174" formatCode="0.000%"/>
    <numFmt numFmtId="175" formatCode="_(\$* #,##0.0_);_(\$* \(#,##0.0\);_(\$* \-??_);_(@_)"/>
  </numFmts>
  <fonts count="34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"/>
      <family val="2"/>
    </font>
    <font>
      <u val="single"/>
      <sz val="10"/>
      <color indexed="36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0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1" applyNumberFormat="0" applyAlignment="0" applyProtection="0"/>
    <xf numFmtId="0" fontId="19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9" fontId="0" fillId="0" borderId="0" xfId="0" applyNumberFormat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8" fontId="0" fillId="0" borderId="12" xfId="0" applyNumberFormat="1" applyBorder="1" applyAlignment="1" applyProtection="1">
      <alignment/>
      <protection hidden="1"/>
    </xf>
    <xf numFmtId="1" fontId="0" fillId="17" borderId="0" xfId="0" applyNumberForma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4" fontId="0" fillId="0" borderId="15" xfId="0" applyNumberFormat="1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18" borderId="0" xfId="0" applyFont="1" applyFill="1" applyAlignment="1" applyProtection="1">
      <alignment/>
      <protection hidden="1"/>
    </xf>
    <xf numFmtId="16" fontId="0" fillId="0" borderId="0" xfId="0" applyNumberFormat="1" applyFont="1" applyAlignment="1" applyProtection="1">
      <alignment/>
      <protection hidden="1"/>
    </xf>
    <xf numFmtId="1" fontId="0" fillId="18" borderId="0" xfId="0" applyNumberFormat="1" applyFont="1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18" borderId="0" xfId="0" applyNumberFormat="1" applyFill="1" applyAlignment="1">
      <alignment/>
    </xf>
    <xf numFmtId="9" fontId="0" fillId="0" borderId="0" xfId="59" applyFont="1" applyFill="1" applyBorder="1" applyAlignment="1" applyProtection="1">
      <alignment/>
      <protection hidden="1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 applyProtection="1">
      <alignment horizontal="center"/>
      <protection hidden="1"/>
    </xf>
    <xf numFmtId="165" fontId="5" fillId="0" borderId="0" xfId="44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165" fontId="4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16" xfId="0" applyNumberFormat="1" applyBorder="1" applyAlignment="1" applyProtection="1">
      <alignment/>
      <protection hidden="1"/>
    </xf>
    <xf numFmtId="15" fontId="0" fillId="0" borderId="17" xfId="0" applyNumberFormat="1" applyBorder="1" applyAlignment="1" applyProtection="1">
      <alignment/>
      <protection hidden="1"/>
    </xf>
    <xf numFmtId="15" fontId="0" fillId="0" borderId="10" xfId="0" applyNumberFormat="1" applyBorder="1" applyAlignment="1" applyProtection="1">
      <alignment/>
      <protection hidden="1"/>
    </xf>
    <xf numFmtId="15" fontId="0" fillId="0" borderId="18" xfId="0" applyNumberFormat="1" applyBorder="1" applyAlignment="1" applyProtection="1">
      <alignment/>
      <protection hidden="1"/>
    </xf>
    <xf numFmtId="15" fontId="0" fillId="0" borderId="0" xfId="0" applyNumberFormat="1" applyBorder="1" applyAlignment="1" applyProtection="1">
      <alignment/>
      <protection hidden="1"/>
    </xf>
    <xf numFmtId="1" fontId="0" fillId="0" borderId="17" xfId="0" applyNumberFormat="1" applyBorder="1" applyAlignment="1" applyProtection="1">
      <alignment/>
      <protection hidden="1"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Border="1" applyAlignment="1" applyProtection="1">
      <alignment/>
      <protection hidden="1"/>
    </xf>
    <xf numFmtId="0" fontId="0" fillId="19" borderId="0" xfId="0" applyNumberFormat="1" applyFill="1" applyAlignment="1">
      <alignment/>
    </xf>
    <xf numFmtId="0" fontId="2" fillId="20" borderId="19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5" fillId="0" borderId="20" xfId="0" applyNumberFormat="1" applyFont="1" applyBorder="1" applyAlignment="1" applyProtection="1">
      <alignment/>
      <protection hidden="1" locked="0"/>
    </xf>
    <xf numFmtId="14" fontId="0" fillId="0" borderId="21" xfId="0" applyNumberFormat="1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165" fontId="0" fillId="0" borderId="19" xfId="44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66" fontId="0" fillId="0" borderId="0" xfId="44" applyNumberFormat="1" applyFont="1" applyFill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14" fontId="5" fillId="0" borderId="19" xfId="0" applyNumberFormat="1" applyFont="1" applyBorder="1" applyAlignment="1" applyProtection="1">
      <alignment/>
      <protection hidden="1" locked="0"/>
    </xf>
    <xf numFmtId="14" fontId="0" fillId="0" borderId="23" xfId="0" applyNumberFormat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/>
      <protection hidden="1" locked="0"/>
    </xf>
    <xf numFmtId="1" fontId="0" fillId="0" borderId="0" xfId="0" applyNumberFormat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165" fontId="0" fillId="0" borderId="14" xfId="44" applyNumberFormat="1" applyFont="1" applyFill="1" applyBorder="1" applyAlignment="1" applyProtection="1">
      <alignment/>
      <protection hidden="1" locked="0"/>
    </xf>
    <xf numFmtId="0" fontId="0" fillId="19" borderId="0" xfId="0" applyFill="1" applyAlignment="1" applyProtection="1">
      <alignment horizontal="center"/>
      <protection hidden="1" locked="0"/>
    </xf>
    <xf numFmtId="0" fontId="0" fillId="19" borderId="0" xfId="0" applyFill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 horizontal="left"/>
      <protection hidden="1" locked="0"/>
    </xf>
    <xf numFmtId="165" fontId="0" fillId="0" borderId="24" xfId="44" applyNumberFormat="1" applyFont="1" applyFill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1" fontId="6" fillId="0" borderId="10" xfId="0" applyNumberFormat="1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165" fontId="0" fillId="0" borderId="0" xfId="0" applyNumberFormat="1" applyBorder="1" applyAlignment="1" applyProtection="1">
      <alignment horizontal="left"/>
      <protection hidden="1" locked="0"/>
    </xf>
    <xf numFmtId="165" fontId="0" fillId="0" borderId="24" xfId="0" applyNumberFormat="1" applyBorder="1" applyAlignment="1" applyProtection="1">
      <alignment horizontal="left"/>
      <protection hidden="1" locked="0"/>
    </xf>
    <xf numFmtId="165" fontId="0" fillId="0" borderId="24" xfId="44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165" fontId="6" fillId="0" borderId="0" xfId="44" applyNumberFormat="1" applyFont="1" applyFill="1" applyBorder="1" applyAlignment="1" applyProtection="1">
      <alignment/>
      <protection hidden="1" locked="0"/>
    </xf>
    <xf numFmtId="1" fontId="0" fillId="19" borderId="0" xfId="0" applyNumberFormat="1" applyFill="1" applyAlignment="1" applyProtection="1">
      <alignment/>
      <protection hidden="1" locked="0"/>
    </xf>
    <xf numFmtId="16" fontId="0" fillId="0" borderId="24" xfId="0" applyNumberFormat="1" applyBorder="1" applyAlignment="1" applyProtection="1">
      <alignment horizontal="left"/>
      <protection hidden="1" locked="0"/>
    </xf>
    <xf numFmtId="14" fontId="3" fillId="0" borderId="26" xfId="0" applyNumberFormat="1" applyFont="1" applyBorder="1" applyAlignment="1" applyProtection="1">
      <alignment/>
      <protection hidden="1" locked="0"/>
    </xf>
    <xf numFmtId="165" fontId="2" fillId="0" borderId="27" xfId="44" applyNumberFormat="1" applyFont="1" applyFill="1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165" fontId="0" fillId="0" borderId="28" xfId="44" applyNumberFormat="1" applyFont="1" applyFill="1" applyBorder="1" applyAlignment="1" applyProtection="1">
      <alignment horizontal="center"/>
      <protection hidden="1" locked="0"/>
    </xf>
    <xf numFmtId="14" fontId="3" fillId="0" borderId="29" xfId="0" applyNumberFormat="1" applyFont="1" applyBorder="1" applyAlignment="1" applyProtection="1">
      <alignment/>
      <protection hidden="1" locked="0"/>
    </xf>
    <xf numFmtId="165" fontId="12" fillId="0" borderId="30" xfId="44" applyNumberFormat="1" applyFont="1" applyFill="1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 horizontal="center"/>
      <protection hidden="1" locked="0"/>
    </xf>
    <xf numFmtId="165" fontId="2" fillId="0" borderId="0" xfId="44" applyNumberFormat="1" applyFont="1" applyFill="1" applyBorder="1" applyAlignment="1" applyProtection="1">
      <alignment/>
      <protection hidden="1" locked="0"/>
    </xf>
    <xf numFmtId="0" fontId="0" fillId="0" borderId="32" xfId="0" applyBorder="1" applyAlignment="1" applyProtection="1">
      <alignment horizontal="center"/>
      <protection hidden="1" locked="0"/>
    </xf>
    <xf numFmtId="0" fontId="0" fillId="0" borderId="32" xfId="0" applyBorder="1" applyAlignment="1" applyProtection="1">
      <alignment/>
      <protection hidden="1" locked="0"/>
    </xf>
    <xf numFmtId="165" fontId="3" fillId="0" borderId="0" xfId="44" applyNumberFormat="1" applyFont="1" applyFill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165" fontId="5" fillId="0" borderId="0" xfId="44" applyNumberFormat="1" applyFont="1" applyFill="1" applyBorder="1" applyAlignment="1" applyProtection="1">
      <alignment/>
      <protection hidden="1" locked="0"/>
    </xf>
    <xf numFmtId="0" fontId="0" fillId="19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0" fillId="19" borderId="0" xfId="44" applyNumberFormat="1" applyFill="1" applyAlignment="1" applyProtection="1">
      <alignment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16" fontId="4" fillId="0" borderId="34" xfId="0" applyNumberFormat="1" applyFont="1" applyBorder="1" applyAlignment="1" applyProtection="1">
      <alignment horizontal="center"/>
      <protection locked="0"/>
    </xf>
    <xf numFmtId="167" fontId="5" fillId="0" borderId="16" xfId="44" applyNumberFormat="1" applyFont="1" applyFill="1" applyBorder="1" applyAlignment="1" applyProtection="1">
      <alignment horizontal="center"/>
      <protection locked="0"/>
    </xf>
    <xf numFmtId="16" fontId="4" fillId="0" borderId="35" xfId="0" applyNumberFormat="1" applyFont="1" applyBorder="1" applyAlignment="1" applyProtection="1">
      <alignment horizontal="center"/>
      <protection locked="0"/>
    </xf>
    <xf numFmtId="167" fontId="5" fillId="0" borderId="36" xfId="44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4" fillId="0" borderId="38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67" fontId="5" fillId="0" borderId="17" xfId="44" applyNumberFormat="1" applyFont="1" applyFill="1" applyBorder="1" applyAlignment="1" applyProtection="1">
      <alignment horizontal="center"/>
      <protection locked="0"/>
    </xf>
    <xf numFmtId="167" fontId="5" fillId="0" borderId="39" xfId="44" applyNumberFormat="1" applyFont="1" applyFill="1" applyBorder="1" applyAlignment="1" applyProtection="1">
      <alignment horizontal="center"/>
      <protection locked="0"/>
    </xf>
    <xf numFmtId="10" fontId="0" fillId="19" borderId="0" xfId="0" applyNumberFormat="1" applyFill="1" applyAlignment="1" applyProtection="1">
      <alignment/>
      <protection hidden="1" locked="0"/>
    </xf>
    <xf numFmtId="0" fontId="0" fillId="0" borderId="40" xfId="0" applyBorder="1" applyAlignment="1" applyProtection="1">
      <alignment horizontal="center"/>
      <protection locked="0"/>
    </xf>
    <xf numFmtId="15" fontId="0" fillId="4" borderId="18" xfId="0" applyNumberFormat="1" applyFill="1" applyBorder="1" applyAlignment="1" applyProtection="1">
      <alignment/>
      <protection hidden="1"/>
    </xf>
    <xf numFmtId="0" fontId="14" fillId="21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5" fillId="0" borderId="0" xfId="44" applyNumberFormat="1" applyFont="1" applyFill="1" applyBorder="1" applyAlignment="1" applyProtection="1">
      <alignment/>
      <protection hidden="1" locked="0"/>
    </xf>
    <xf numFmtId="0" fontId="4" fillId="0" borderId="41" xfId="0" applyFont="1" applyBorder="1" applyAlignment="1" applyProtection="1">
      <alignment horizontal="center"/>
      <protection hidden="1" locked="0"/>
    </xf>
    <xf numFmtId="0" fontId="4" fillId="0" borderId="42" xfId="0" applyFont="1" applyBorder="1" applyAlignment="1" applyProtection="1">
      <alignment horizontal="center"/>
      <protection hidden="1" locked="0"/>
    </xf>
    <xf numFmtId="14" fontId="32" fillId="22" borderId="43" xfId="53" applyNumberFormat="1" applyFont="1" applyFill="1" applyBorder="1" applyAlignment="1" applyProtection="1">
      <alignment horizontal="center"/>
      <protection hidden="1" locked="0"/>
    </xf>
    <xf numFmtId="0" fontId="3" fillId="23" borderId="44" xfId="0" applyFont="1" applyFill="1" applyBorder="1" applyAlignment="1" applyProtection="1">
      <alignment horizontal="center"/>
      <protection hidden="1" locked="0"/>
    </xf>
    <xf numFmtId="0" fontId="3" fillId="23" borderId="0" xfId="0" applyFont="1" applyFill="1" applyBorder="1" applyAlignment="1" applyProtection="1">
      <alignment horizontal="center"/>
      <protection hidden="1" locked="0"/>
    </xf>
    <xf numFmtId="14" fontId="3" fillId="0" borderId="45" xfId="0" applyNumberFormat="1" applyFont="1" applyBorder="1" applyAlignment="1" applyProtection="1">
      <alignment horizontal="center"/>
      <protection hidden="1" locked="0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chcomberoceanshore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2"/>
  <sheetViews>
    <sheetView showGridLines="0" showRowColHeaders="0" tabSelected="1" showOutlineSymbols="0" zoomScalePageLayoutView="0" workbookViewId="0" topLeftCell="A1">
      <selection activeCell="B2" sqref="B2"/>
    </sheetView>
  </sheetViews>
  <sheetFormatPr defaultColWidth="9.140625" defaultRowHeight="12.75"/>
  <cols>
    <col min="1" max="1" width="28.7109375" style="0" customWidth="1"/>
    <col min="2" max="2" width="13.57421875" style="0" customWidth="1"/>
    <col min="3" max="3" width="9.7109375" style="0" customWidth="1"/>
    <col min="6" max="10" width="4.7109375" style="0" customWidth="1"/>
    <col min="11" max="11" width="9.8515625" style="0" customWidth="1"/>
    <col min="12" max="12" width="6.140625" style="0" customWidth="1"/>
    <col min="13" max="13" width="7.421875" style="0" customWidth="1"/>
    <col min="14" max="16" width="4.7109375" style="0" customWidth="1"/>
    <col min="17" max="17" width="11.421875" style="0" customWidth="1"/>
    <col min="18" max="20" width="4.7109375" style="0" customWidth="1"/>
    <col min="21" max="21" width="5.8515625" style="0" customWidth="1"/>
    <col min="22" max="22" width="5.140625" style="0" customWidth="1"/>
    <col min="48" max="48" width="10.421875" style="0" customWidth="1"/>
    <col min="49" max="49" width="10.00390625" style="0" customWidth="1"/>
    <col min="50" max="50" width="11.00390625" style="0" customWidth="1"/>
    <col min="51" max="52" width="12.421875" style="0" customWidth="1"/>
  </cols>
  <sheetData>
    <row r="1" spans="1:53" s="46" customFormat="1" ht="27.75" thickBot="1" thickTop="1">
      <c r="A1" s="121" t="str">
        <f>+B52</f>
        <v>Point Brown Studio</v>
      </c>
      <c r="B1" s="121"/>
      <c r="C1" s="121"/>
      <c r="D1" s="43"/>
      <c r="E1" s="122" t="s">
        <v>0</v>
      </c>
      <c r="F1" s="122"/>
      <c r="G1" s="122"/>
      <c r="H1" s="122"/>
      <c r="I1" s="122"/>
      <c r="J1" s="122"/>
      <c r="K1" s="122"/>
      <c r="L1" s="44"/>
      <c r="M1" s="123" t="str">
        <f>+IF($AL$7=1,"Decision to wait","")</f>
        <v>Decision to wait</v>
      </c>
      <c r="N1" s="123"/>
      <c r="O1" s="123"/>
      <c r="P1" s="123"/>
      <c r="Q1" s="123"/>
      <c r="R1" s="123"/>
      <c r="S1" s="123"/>
      <c r="T1" s="123"/>
      <c r="U1" s="123"/>
      <c r="V1" s="123"/>
      <c r="W1" s="45"/>
      <c r="AL1" s="46" t="s">
        <v>1</v>
      </c>
      <c r="AP1" s="47" t="s">
        <v>2</v>
      </c>
      <c r="AS1" s="46" t="s">
        <v>3</v>
      </c>
      <c r="AV1" s="124" t="str">
        <f>+B52</f>
        <v>Point Brown Studio</v>
      </c>
      <c r="AW1" s="124"/>
      <c r="AX1" s="119" t="s">
        <v>4</v>
      </c>
      <c r="AY1" s="119"/>
      <c r="AZ1" s="120"/>
      <c r="BA1" s="108" t="s">
        <v>45</v>
      </c>
    </row>
    <row r="2" spans="1:53" s="46" customFormat="1" ht="19.5" thickBot="1" thickTop="1">
      <c r="A2" s="48" t="s">
        <v>5</v>
      </c>
      <c r="B2" s="49">
        <v>41821</v>
      </c>
      <c r="C2" s="50"/>
      <c r="D2" s="44" t="s">
        <v>6</v>
      </c>
      <c r="E2" s="44"/>
      <c r="F2" s="51"/>
      <c r="G2" s="51"/>
      <c r="H2" s="51"/>
      <c r="I2" s="51"/>
      <c r="J2" s="51"/>
      <c r="K2" s="51"/>
      <c r="L2" s="52"/>
      <c r="M2" s="46" t="str">
        <f>+IF($AL$4=1,"If you wait","")</f>
        <v>If you wait</v>
      </c>
      <c r="O2" s="53">
        <f>+IF($AL$4=1,+F5-40,"")</f>
        <v>293</v>
      </c>
      <c r="P2" s="46" t="str">
        <f>+IF($AL$4=1,"more days to book, you can save","")</f>
        <v>more days to book, you can save</v>
      </c>
      <c r="U2" s="54">
        <f>+(B5-K6)*B4-10</f>
        <v>389.8055999999999</v>
      </c>
      <c r="AL2" s="46">
        <f>+IF(F$5&lt;42,40,0)</f>
        <v>0</v>
      </c>
      <c r="AM2" s="46">
        <v>40</v>
      </c>
      <c r="AP2" s="55">
        <v>1.15</v>
      </c>
      <c r="AS2" s="46">
        <f>+IF(+B4+AT2=6,1,0)</f>
        <v>0</v>
      </c>
      <c r="AT2" s="56">
        <f>IF((+B3-Q30)&gt;0,+B3-Q30,0)</f>
        <v>0</v>
      </c>
      <c r="AV2" s="102" t="s">
        <v>7</v>
      </c>
      <c r="AW2" s="103" t="s">
        <v>8</v>
      </c>
      <c r="AX2" s="103" t="s">
        <v>9</v>
      </c>
      <c r="AY2" s="103" t="s">
        <v>10</v>
      </c>
      <c r="AZ2" s="109" t="s">
        <v>11</v>
      </c>
      <c r="BA2" s="110" t="s">
        <v>46</v>
      </c>
    </row>
    <row r="3" spans="1:53" s="46" customFormat="1" ht="19.5" thickBot="1" thickTop="1">
      <c r="A3" s="57" t="s">
        <v>12</v>
      </c>
      <c r="B3" s="58">
        <v>41825</v>
      </c>
      <c r="C3" s="59"/>
      <c r="D3" s="44"/>
      <c r="E3" s="44" t="s">
        <v>13</v>
      </c>
      <c r="F3" s="51"/>
      <c r="G3" s="51"/>
      <c r="H3" s="51"/>
      <c r="I3" s="51"/>
      <c r="J3" s="51"/>
      <c r="K3" s="60">
        <f>+D30</f>
        <v>76.15702499999999</v>
      </c>
      <c r="L3" s="44"/>
      <c r="M3" s="46" t="str">
        <f>+IF($AL$4=1,"Please contact us so we can check how many units are available","")</f>
        <v>Please contact us so we can check how many units are available</v>
      </c>
      <c r="AL3" s="46">
        <f>+IF(F$5&gt;61,60,0)</f>
        <v>60</v>
      </c>
      <c r="AM3" s="46">
        <v>60</v>
      </c>
      <c r="AS3" s="46">
        <f>+IF(B4+AT2&gt;6,2,0)</f>
        <v>0</v>
      </c>
      <c r="AV3" s="106">
        <f>+A17</f>
        <v>41277</v>
      </c>
      <c r="AW3" s="106">
        <f>+B17</f>
        <v>41333</v>
      </c>
      <c r="AX3" s="107">
        <f>+C17</f>
        <v>122.68500000000002</v>
      </c>
      <c r="AY3" s="107">
        <f>+D17</f>
        <v>98.761425</v>
      </c>
      <c r="AZ3" s="112">
        <f>+E17</f>
        <v>77.885</v>
      </c>
      <c r="BA3" s="110" t="s">
        <v>47</v>
      </c>
    </row>
    <row r="4" spans="1:53" s="46" customFormat="1" ht="19.5" thickBot="1" thickTop="1">
      <c r="A4" s="57" t="s">
        <v>14</v>
      </c>
      <c r="B4" s="61">
        <f>+IF(B3-Q30&lt;0,B3-B2,Q30-B2)</f>
        <v>4</v>
      </c>
      <c r="C4" s="62">
        <f>+IF(A$32=1,B3-Q30,"")</f>
      </c>
      <c r="D4" s="44"/>
      <c r="E4" s="63" t="s">
        <v>15</v>
      </c>
      <c r="F4" s="64"/>
      <c r="G4" s="64"/>
      <c r="H4" s="64"/>
      <c r="I4" s="64"/>
      <c r="J4" s="64"/>
      <c r="K4" s="65">
        <f>+MAX(C13:C17)</f>
        <v>176.3601</v>
      </c>
      <c r="L4" s="44"/>
      <c r="M4" s="46" t="str">
        <f>+IF($AL$4=1,"and give you an idea of the risk of having no availability if you wait.","")</f>
        <v>and give you an idea of the risk of having no availability if you wait.</v>
      </c>
      <c r="AL4" s="46">
        <f>+IF(U2&lt;20,0,1)</f>
        <v>1</v>
      </c>
      <c r="AM4" s="46" t="s">
        <v>16</v>
      </c>
      <c r="AN4" s="46">
        <f>+IF((SUM($AL2:$AL3))=0,1,0)</f>
        <v>0</v>
      </c>
      <c r="AO4" s="46" t="s">
        <v>6</v>
      </c>
      <c r="AP4" s="66" t="s">
        <v>41</v>
      </c>
      <c r="AQ4" s="67">
        <v>8</v>
      </c>
      <c r="AS4" s="46">
        <f>+AS5</f>
        <v>0</v>
      </c>
      <c r="AV4" s="104">
        <f>+A15</f>
        <v>41334</v>
      </c>
      <c r="AW4" s="104">
        <f>+B15</f>
        <v>41440</v>
      </c>
      <c r="AX4" s="105">
        <f>+C15</f>
        <v>96.15899999999999</v>
      </c>
      <c r="AY4" s="105">
        <f>+D15</f>
        <v>77.40799499999999</v>
      </c>
      <c r="AZ4" s="111">
        <f>+E15</f>
        <v>79.439</v>
      </c>
      <c r="BA4" s="110" t="s">
        <v>47</v>
      </c>
    </row>
    <row r="5" spans="1:53" s="46" customFormat="1" ht="19.5" thickBot="1" thickTop="1">
      <c r="A5" s="57" t="s">
        <v>17</v>
      </c>
      <c r="B5" s="68">
        <f>+N30</f>
        <v>173.95139999999998</v>
      </c>
      <c r="C5" s="69">
        <f>+IF(A$32=1,N50,"")</f>
      </c>
      <c r="D5" s="44"/>
      <c r="E5" s="70" t="s">
        <v>18</v>
      </c>
      <c r="F5" s="71">
        <f>+B2-A61</f>
        <v>333</v>
      </c>
      <c r="G5" s="72" t="s">
        <v>19</v>
      </c>
      <c r="I5" s="72"/>
      <c r="J5" s="72"/>
      <c r="K5" s="72"/>
      <c r="L5" s="44"/>
      <c r="M5" s="73"/>
      <c r="AL5" s="46">
        <f>+IF(F$5&lt;80,80,0)</f>
        <v>0</v>
      </c>
      <c r="AM5" s="46">
        <v>80</v>
      </c>
      <c r="AP5" s="66" t="s">
        <v>42</v>
      </c>
      <c r="AQ5" s="113">
        <v>0.111</v>
      </c>
      <c r="AS5" s="46">
        <f>+AS2+AS3</f>
        <v>0</v>
      </c>
      <c r="AV5" s="104">
        <f>+A14</f>
        <v>41441</v>
      </c>
      <c r="AW5" s="104">
        <f>+B14</f>
        <v>41562</v>
      </c>
      <c r="AX5" s="105">
        <f>+C14</f>
        <v>173.95139999999998</v>
      </c>
      <c r="AY5" s="105">
        <f>+D14</f>
        <v>121.76597999999997</v>
      </c>
      <c r="AZ5" s="111">
        <f>+E14</f>
        <v>82.2362</v>
      </c>
      <c r="BA5" s="110" t="s">
        <v>47</v>
      </c>
    </row>
    <row r="6" spans="1:53" s="46" customFormat="1" ht="19.5" thickBot="1" thickTop="1">
      <c r="A6" s="57" t="s">
        <v>20</v>
      </c>
      <c r="B6" s="74">
        <f>+B5*B4+S30</f>
        <v>695.8055999999999</v>
      </c>
      <c r="C6" s="75">
        <f>+IF(A$32=1,C5*C4,"")</f>
      </c>
      <c r="D6" s="44"/>
      <c r="E6" s="44" t="s">
        <v>21</v>
      </c>
      <c r="F6" s="51"/>
      <c r="G6" s="51"/>
      <c r="H6" s="51"/>
      <c r="I6" s="51"/>
      <c r="J6" s="51"/>
      <c r="K6" s="76">
        <f>+B58</f>
        <v>74</v>
      </c>
      <c r="M6" s="46">
        <f>+IF($AL$6=1,"If you wait","")</f>
      </c>
      <c r="O6" s="77">
        <f>+IF($AL$6=1,+F5-60,"")</f>
      </c>
      <c r="P6" s="46">
        <f>+IF($AL$6=1,"more days to book, you can save","")</f>
      </c>
      <c r="U6" s="78">
        <f>+IF($AL$6=1,(B5-AI11)*B4-10,"")</f>
      </c>
      <c r="AL6" s="46">
        <f>+IF(AL5+AL3=140,1,0)</f>
        <v>0</v>
      </c>
      <c r="AP6" s="66" t="s">
        <v>43</v>
      </c>
      <c r="AQ6" s="79">
        <f>+AA30</f>
        <v>384.644</v>
      </c>
      <c r="AV6" s="104">
        <f>+A16</f>
        <v>41563</v>
      </c>
      <c r="AW6" s="104">
        <f>+B16</f>
        <v>41627</v>
      </c>
      <c r="AX6" s="105">
        <f>+C16</f>
        <v>94.605</v>
      </c>
      <c r="AY6" s="105">
        <f>+D16</f>
        <v>76.15702499999999</v>
      </c>
      <c r="AZ6" s="111">
        <f>+E16</f>
        <v>77.885</v>
      </c>
      <c r="BA6" s="110" t="s">
        <v>47</v>
      </c>
    </row>
    <row r="7" spans="1:53" s="46" customFormat="1" ht="19.5" thickBot="1" thickTop="1">
      <c r="A7" s="57" t="s">
        <v>22</v>
      </c>
      <c r="B7" s="68">
        <f>+P30</f>
        <v>50</v>
      </c>
      <c r="C7" s="80"/>
      <c r="D7" s="44"/>
      <c r="E7" s="44" t="s">
        <v>23</v>
      </c>
      <c r="F7" s="51"/>
      <c r="G7" s="51"/>
      <c r="H7" s="51"/>
      <c r="I7" s="51"/>
      <c r="J7" s="51"/>
      <c r="K7" s="76">
        <f>+Y30</f>
        <v>121.76597999999997</v>
      </c>
      <c r="M7" s="46">
        <f>+IF($AL$6=1,"Please contact us so we can check how many units are available","")</f>
      </c>
      <c r="AL7" s="46">
        <f>+AL4+AL6</f>
        <v>1</v>
      </c>
      <c r="AP7" s="66" t="s">
        <v>44</v>
      </c>
      <c r="AQ7" s="79">
        <f>+IF(F5&lt;49,(E$58)*(B$3-B$2)+25,"")</f>
      </c>
      <c r="AV7" s="106">
        <f>+A13</f>
        <v>41628</v>
      </c>
      <c r="AW7" s="106">
        <f>+B13</f>
        <v>41641</v>
      </c>
      <c r="AX7" s="107">
        <f>+C13</f>
        <v>176.3601</v>
      </c>
      <c r="AY7" s="107">
        <f>+D13</f>
        <v>123.45206999999998</v>
      </c>
      <c r="AZ7" s="112">
        <f>+E13</f>
        <v>84.6449</v>
      </c>
      <c r="BA7" s="114" t="s">
        <v>47</v>
      </c>
    </row>
    <row r="8" spans="1:43" s="46" customFormat="1" ht="21.75" thickBot="1" thickTop="1">
      <c r="A8" s="81" t="s">
        <v>24</v>
      </c>
      <c r="B8" s="82">
        <f>+IF(A32=1,B7+B6+C6,B6+B7)</f>
        <v>745.8055999999999</v>
      </c>
      <c r="C8" s="83"/>
      <c r="D8" s="44"/>
      <c r="E8" s="84" t="s">
        <v>25</v>
      </c>
      <c r="F8" s="85"/>
      <c r="G8" s="85"/>
      <c r="H8" s="85"/>
      <c r="I8" s="85"/>
      <c r="J8" s="85"/>
      <c r="K8" s="86">
        <f>+J30</f>
        <v>173.95139999999998</v>
      </c>
      <c r="M8" s="46">
        <f>+IF($AL$6=1,"and give you an idea of the risk of having no availability if you wait.","")</f>
      </c>
      <c r="AP8" s="46" t="str">
        <f>+IF(AQ7&lt;AQ6,"B","P")</f>
        <v>P</v>
      </c>
      <c r="AQ8" s="56">
        <f>+MIN(AQ6:AQ7)</f>
        <v>384.644</v>
      </c>
    </row>
    <row r="9" spans="1:11" s="46" customFormat="1" ht="21.75" thickBot="1" thickTop="1">
      <c r="A9" s="87"/>
      <c r="B9" s="88"/>
      <c r="C9" s="89"/>
      <c r="D9" s="51"/>
      <c r="E9" s="90"/>
      <c r="F9" s="51"/>
      <c r="G9" s="51"/>
      <c r="H9" s="51"/>
      <c r="I9" s="51"/>
      <c r="J9" s="51"/>
      <c r="K9" s="91"/>
    </row>
    <row r="10" spans="1:45" s="46" customFormat="1" ht="21.75" thickBot="1" thickTop="1">
      <c r="A10" s="73" t="s">
        <v>26</v>
      </c>
      <c r="B10" s="92"/>
      <c r="C10" s="93">
        <f>+AS4</f>
        <v>0</v>
      </c>
      <c r="D10" s="51"/>
      <c r="E10" s="90" t="s">
        <v>27</v>
      </c>
      <c r="F10" s="51"/>
      <c r="G10" s="94"/>
      <c r="H10" s="46">
        <f>+IF(G10="","",AP10)</f>
      </c>
      <c r="K10" s="95">
        <f>+IF(G10=10,AS11,IF(G10="r2",AB11,IF(G10="lra",Z11,IF(G10="cst",AQ8,""))))</f>
      </c>
      <c r="L10" s="51" t="str">
        <f>+AP8</f>
        <v>P</v>
      </c>
      <c r="M10" s="51"/>
      <c r="AP10" s="51" t="s">
        <v>28</v>
      </c>
      <c r="AQ10" s="51"/>
      <c r="AR10" s="51"/>
      <c r="AS10" s="60">
        <f>+IF(P30=40,B8*0.85,B8*0.93)</f>
        <v>693.599208</v>
      </c>
    </row>
    <row r="11" spans="1:30" s="46" customFormat="1" ht="20.25">
      <c r="A11" s="96" t="str">
        <f>+IF(F5&gt;45,"If we don't have availability right now, consider a waitlist.  We will give you 5% off of our already low rates.","")</f>
        <v>If we don't have availability right now, consider a waitlist.  We will give you 5% off of our already low rates.</v>
      </c>
      <c r="B11" s="92"/>
      <c r="C11" s="51"/>
      <c r="D11" s="97"/>
      <c r="E11" s="97"/>
      <c r="F11" s="97"/>
      <c r="G11" s="97"/>
      <c r="H11" s="97"/>
      <c r="I11" s="97"/>
      <c r="J11" s="97"/>
      <c r="K11" s="97"/>
      <c r="L11" s="97"/>
      <c r="M11" s="78">
        <f>+IF(F5&gt;45,B8*0.95,"")</f>
        <v>708.5153199999999</v>
      </c>
      <c r="N11" s="98"/>
      <c r="O11" s="118" t="str">
        <f>+IF(F5&gt;45,"http://discounttimesharerentals.com/waitlist.htm","")</f>
        <v>http://discounttimesharerentals.com/waitlist.htm</v>
      </c>
      <c r="P11" s="118"/>
      <c r="Q11" s="118"/>
      <c r="R11" s="118"/>
      <c r="S11" s="118"/>
      <c r="T11" s="118"/>
      <c r="U11" s="118"/>
      <c r="V11" s="118"/>
      <c r="W11" s="118"/>
      <c r="Y11" s="46" t="s">
        <v>29</v>
      </c>
      <c r="Z11" s="79">
        <f>$B8-(+$B8-$AD30)/1.5</f>
        <v>505.0312</v>
      </c>
      <c r="AA11" s="67" t="s">
        <v>40</v>
      </c>
      <c r="AB11" s="79">
        <f>$B8-(+$B8-$AD30)/2.75</f>
        <v>614.474109090909</v>
      </c>
      <c r="AC11" s="67"/>
      <c r="AD11" s="67"/>
    </row>
    <row r="12" spans="1:30" ht="13.5" thickBot="1">
      <c r="A12" s="116" t="s">
        <v>48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2"/>
      <c r="M12" s="2"/>
      <c r="Z12" s="40"/>
      <c r="AA12" s="40"/>
      <c r="AB12" s="40"/>
      <c r="AC12" s="40"/>
      <c r="AD12" s="40"/>
    </row>
    <row r="13" spans="1:30" ht="12.75" customHeight="1" hidden="1">
      <c r="A13" s="34">
        <f>+B16+1</f>
        <v>41628</v>
      </c>
      <c r="B13" s="35">
        <f>+A13+13</f>
        <v>41641</v>
      </c>
      <c r="C13" s="4">
        <f>+B53+$U13*7*$S$31</f>
        <v>176.3601</v>
      </c>
      <c r="D13" s="4">
        <f>+C$13*0.7</f>
        <v>123.45206999999998</v>
      </c>
      <c r="E13" s="4">
        <f>+B$58+U13*7*$S$31</f>
        <v>84.6449</v>
      </c>
      <c r="F13" s="4">
        <f>+A13-$B$2</f>
        <v>-193</v>
      </c>
      <c r="G13" s="4">
        <f>+B13-$B$2+1</f>
        <v>-179</v>
      </c>
      <c r="H13" s="4">
        <f aca="true" t="shared" si="0" ref="H13:I16">+IF(F13&gt;0,1,0)</f>
        <v>0</v>
      </c>
      <c r="I13" s="4">
        <f t="shared" si="0"/>
        <v>0</v>
      </c>
      <c r="J13" s="4">
        <f>+IF(H13+I13=1,C13,0)</f>
        <v>0</v>
      </c>
      <c r="K13" s="4">
        <f aca="true" t="shared" si="1" ref="K13:K29">+IF(B$60&lt;62,D13,C13)</f>
        <v>176.3601</v>
      </c>
      <c r="L13" s="4">
        <f>+IF(J13=0,0,K13)</f>
        <v>0</v>
      </c>
      <c r="M13" s="4">
        <f aca="true" t="shared" si="2" ref="M13:M29">+IF(B$60&lt;42,E13,L13)</f>
        <v>0</v>
      </c>
      <c r="N13" s="5">
        <f>+IF(M13&gt;L13+3,L13,M13)</f>
        <v>0</v>
      </c>
      <c r="O13" s="5">
        <f>+IF(N13=L13,50,40)</f>
        <v>50</v>
      </c>
      <c r="P13" s="6">
        <f>+IF(N13=0,0,O13)</f>
        <v>0</v>
      </c>
      <c r="Q13" s="33">
        <f>+IF(N13=0,0,B13)</f>
        <v>0</v>
      </c>
      <c r="R13">
        <f aca="true" t="shared" si="3" ref="R13:R24">+IF(C$10&gt;0,C$10*N13*X13,0)</f>
        <v>0</v>
      </c>
      <c r="S13" s="40">
        <f aca="true" t="shared" si="4" ref="S13:S29">+IF(P13=50,R13,R13*S$31)</f>
        <v>0</v>
      </c>
      <c r="U13">
        <v>13.7</v>
      </c>
      <c r="V13">
        <v>13.7</v>
      </c>
      <c r="W13">
        <f aca="true" t="shared" si="5" ref="W13:W18">+V13-U13</f>
        <v>0</v>
      </c>
      <c r="X13" s="32">
        <f aca="true" t="shared" si="6" ref="X13:X18">+W13/U13</f>
        <v>0</v>
      </c>
      <c r="Y13" s="32">
        <f aca="true" t="shared" si="7" ref="Y13:Y18">+IF(L13=0,0,D13)</f>
        <v>0</v>
      </c>
      <c r="Z13" s="41">
        <f aca="true" t="shared" si="8" ref="Z13:Z18">+IF(N13=0,0,U13*AQ$4*(B$3-B$2)+AQ$5*(B$3-B$2)+20+25)</f>
        <v>0</v>
      </c>
      <c r="AA13" s="42">
        <f aca="true" t="shared" si="9" ref="AA13:AA18">+IF(K13=D13,AC13,Z13)</f>
        <v>0</v>
      </c>
      <c r="AB13" s="39">
        <f aca="true" t="shared" si="10" ref="AB13:AB18">+MIN(AA13,AC13)</f>
        <v>0</v>
      </c>
      <c r="AC13" s="41">
        <f aca="true" t="shared" si="11" ref="AC13:AC18">+IF(N13=0,0,U13/2*AQ$4*(B$3-B$2)+AQ$5*(B$3-B$2)+20+25)</f>
        <v>0</v>
      </c>
      <c r="AD13" s="39">
        <f aca="true" t="shared" si="12" ref="AD13:AD18">+IF(P13=40,(E$58)*(B$3-B$2)+25,AA13)</f>
        <v>0</v>
      </c>
    </row>
    <row r="14" spans="1:30" ht="12.75" customHeight="1" hidden="1">
      <c r="A14" s="36">
        <f>+B15+1</f>
        <v>41441</v>
      </c>
      <c r="B14" s="37">
        <f>+A14+121</f>
        <v>41562</v>
      </c>
      <c r="C14" s="7">
        <f>+B$53+$U14*7*$S$31</f>
        <v>173.95139999999998</v>
      </c>
      <c r="D14" s="7">
        <f>+C14*0.7</f>
        <v>121.76597999999997</v>
      </c>
      <c r="E14" s="7">
        <f>+B$58+U14*7*$S$31</f>
        <v>82.2362</v>
      </c>
      <c r="F14" s="7">
        <f>+A14-$B$2</f>
        <v>-380</v>
      </c>
      <c r="G14" s="7">
        <f>+B14-$B$2+1</f>
        <v>-258</v>
      </c>
      <c r="H14" s="7">
        <f t="shared" si="0"/>
        <v>0</v>
      </c>
      <c r="I14" s="7">
        <f t="shared" si="0"/>
        <v>0</v>
      </c>
      <c r="J14" s="7">
        <f>+IF(H14+I14=1,C14,0)</f>
        <v>0</v>
      </c>
      <c r="K14" s="7">
        <f t="shared" si="1"/>
        <v>173.95139999999998</v>
      </c>
      <c r="L14" s="7">
        <f>+IF(J14=0,0,K14)</f>
        <v>0</v>
      </c>
      <c r="M14" s="7">
        <f t="shared" si="2"/>
        <v>0</v>
      </c>
      <c r="N14" s="8">
        <f>+IF(M14&gt;L14+3,L14,M14)</f>
        <v>0</v>
      </c>
      <c r="O14" s="8">
        <f>+IF(N14=L14,50,40)</f>
        <v>50</v>
      </c>
      <c r="P14" s="9">
        <f>+IF(N14=0,0,O14)</f>
        <v>0</v>
      </c>
      <c r="Q14" s="10">
        <f>+IF(N14=0,0,B14)</f>
        <v>0</v>
      </c>
      <c r="R14">
        <f t="shared" si="3"/>
        <v>0</v>
      </c>
      <c r="S14" s="40">
        <f t="shared" si="4"/>
        <v>0</v>
      </c>
      <c r="U14">
        <v>10.6</v>
      </c>
      <c r="V14">
        <v>13.7</v>
      </c>
      <c r="W14">
        <f t="shared" si="5"/>
        <v>3.0999999999999996</v>
      </c>
      <c r="X14" s="32">
        <f t="shared" si="6"/>
        <v>0.29245283018867924</v>
      </c>
      <c r="Y14" s="32">
        <f t="shared" si="7"/>
        <v>0</v>
      </c>
      <c r="Z14" s="41">
        <f t="shared" si="8"/>
        <v>0</v>
      </c>
      <c r="AA14" s="42">
        <f t="shared" si="9"/>
        <v>0</v>
      </c>
      <c r="AB14" s="39">
        <f t="shared" si="10"/>
        <v>0</v>
      </c>
      <c r="AC14" s="41">
        <f t="shared" si="11"/>
        <v>0</v>
      </c>
      <c r="AD14" s="39">
        <f t="shared" si="12"/>
        <v>0</v>
      </c>
    </row>
    <row r="15" spans="1:30" ht="12.75" customHeight="1" hidden="1">
      <c r="A15" s="36">
        <f>+B17+1</f>
        <v>41334</v>
      </c>
      <c r="B15" s="37">
        <f>+A15+106</f>
        <v>41440</v>
      </c>
      <c r="C15" s="7">
        <f>+B$54+$U15*7*$S$31</f>
        <v>96.15899999999999</v>
      </c>
      <c r="D15" s="11">
        <f>+C15*0.7*AP$2</f>
        <v>77.40799499999999</v>
      </c>
      <c r="E15" s="7">
        <f>+B$58+U15*7*$S$31</f>
        <v>79.439</v>
      </c>
      <c r="F15" s="7">
        <f>+A15-$B$2</f>
        <v>-487</v>
      </c>
      <c r="G15" s="7">
        <f>+B15-$B$2+1</f>
        <v>-380</v>
      </c>
      <c r="H15" s="7">
        <f t="shared" si="0"/>
        <v>0</v>
      </c>
      <c r="I15" s="7">
        <f t="shared" si="0"/>
        <v>0</v>
      </c>
      <c r="J15" s="7">
        <f>+IF(H15+I15=1,C15,0)</f>
        <v>0</v>
      </c>
      <c r="K15" s="7">
        <f t="shared" si="1"/>
        <v>96.15899999999999</v>
      </c>
      <c r="L15" s="7">
        <f>+IF(J15=0,0,K15)</f>
        <v>0</v>
      </c>
      <c r="M15" s="7">
        <f t="shared" si="2"/>
        <v>0</v>
      </c>
      <c r="N15" s="8">
        <f aca="true" t="shared" si="13" ref="N15:N24">+IF(M15&gt;L15+3,L15,M15)</f>
        <v>0</v>
      </c>
      <c r="O15" s="8">
        <f>+IF(N15=L15,50,40)</f>
        <v>50</v>
      </c>
      <c r="P15" s="9">
        <f>+IF(N15=0,0,O15)</f>
        <v>0</v>
      </c>
      <c r="Q15" s="10">
        <f>+IF(N15=0,0,B15)</f>
        <v>0</v>
      </c>
      <c r="R15">
        <f t="shared" si="3"/>
        <v>0</v>
      </c>
      <c r="S15" s="40">
        <f t="shared" si="4"/>
        <v>0</v>
      </c>
      <c r="U15">
        <v>7</v>
      </c>
      <c r="V15">
        <v>11.5</v>
      </c>
      <c r="W15">
        <f t="shared" si="5"/>
        <v>4.5</v>
      </c>
      <c r="X15" s="32">
        <f t="shared" si="6"/>
        <v>0.6428571428571429</v>
      </c>
      <c r="Y15" s="32">
        <f t="shared" si="7"/>
        <v>0</v>
      </c>
      <c r="Z15" s="41">
        <f t="shared" si="8"/>
        <v>0</v>
      </c>
      <c r="AA15" s="42">
        <f t="shared" si="9"/>
        <v>0</v>
      </c>
      <c r="AB15" s="39">
        <f t="shared" si="10"/>
        <v>0</v>
      </c>
      <c r="AC15" s="41">
        <f t="shared" si="11"/>
        <v>0</v>
      </c>
      <c r="AD15" s="39">
        <f t="shared" si="12"/>
        <v>0</v>
      </c>
    </row>
    <row r="16" spans="1:30" ht="12.75" customHeight="1" hidden="1">
      <c r="A16" s="36">
        <f>+B14+1</f>
        <v>41563</v>
      </c>
      <c r="B16" s="37">
        <f>+A16+64</f>
        <v>41627</v>
      </c>
      <c r="C16" s="7">
        <f>+B$54+$U16*7*$S$31</f>
        <v>94.605</v>
      </c>
      <c r="D16" s="11">
        <f>+C16*0.7*AP$2</f>
        <v>76.15702499999999</v>
      </c>
      <c r="E16" s="7">
        <f>+B$58+U16*7*$S$31</f>
        <v>77.885</v>
      </c>
      <c r="F16" s="7">
        <f>+A16-$B$2</f>
        <v>-258</v>
      </c>
      <c r="G16" s="7">
        <f>+B16-$B$2+1</f>
        <v>-193</v>
      </c>
      <c r="H16" s="7">
        <f t="shared" si="0"/>
        <v>0</v>
      </c>
      <c r="I16" s="7">
        <f t="shared" si="0"/>
        <v>0</v>
      </c>
      <c r="J16" s="7">
        <f>+IF(H16+I16=1,C16,0)</f>
        <v>0</v>
      </c>
      <c r="K16" s="7">
        <f t="shared" si="1"/>
        <v>94.605</v>
      </c>
      <c r="L16" s="7">
        <f>+IF(J16=0,0,K16)</f>
        <v>0</v>
      </c>
      <c r="M16" s="7">
        <f t="shared" si="2"/>
        <v>0</v>
      </c>
      <c r="N16" s="8">
        <f t="shared" si="13"/>
        <v>0</v>
      </c>
      <c r="O16" s="8">
        <f>+IF(N16=L16,50,40)</f>
        <v>50</v>
      </c>
      <c r="P16" s="9">
        <f>+IF(N16=0,0,O16)</f>
        <v>0</v>
      </c>
      <c r="Q16" s="10">
        <f>+IF(N16=0,0,B16)</f>
        <v>0</v>
      </c>
      <c r="R16">
        <f t="shared" si="3"/>
        <v>0</v>
      </c>
      <c r="S16" s="40">
        <f t="shared" si="4"/>
        <v>0</v>
      </c>
      <c r="U16">
        <v>5</v>
      </c>
      <c r="V16">
        <v>8.5</v>
      </c>
      <c r="W16">
        <f t="shared" si="5"/>
        <v>3.5</v>
      </c>
      <c r="X16" s="32">
        <f t="shared" si="6"/>
        <v>0.7</v>
      </c>
      <c r="Y16" s="32">
        <f t="shared" si="7"/>
        <v>0</v>
      </c>
      <c r="Z16" s="41">
        <f t="shared" si="8"/>
        <v>0</v>
      </c>
      <c r="AA16" s="42">
        <f t="shared" si="9"/>
        <v>0</v>
      </c>
      <c r="AB16" s="39">
        <f t="shared" si="10"/>
        <v>0</v>
      </c>
      <c r="AC16" s="41">
        <f t="shared" si="11"/>
        <v>0</v>
      </c>
      <c r="AD16" s="39">
        <f t="shared" si="12"/>
        <v>0</v>
      </c>
    </row>
    <row r="17" spans="1:30" ht="12.75" customHeight="1" hidden="1">
      <c r="A17" s="115">
        <v>41277</v>
      </c>
      <c r="B17" s="37">
        <f>+A17+56</f>
        <v>41333</v>
      </c>
      <c r="C17" s="7">
        <f>+B55+$U17*7*$S$31</f>
        <v>122.68500000000002</v>
      </c>
      <c r="D17" s="11">
        <f>+C17*0.7*AP$2</f>
        <v>98.761425</v>
      </c>
      <c r="E17" s="7">
        <f>+E16</f>
        <v>77.885</v>
      </c>
      <c r="F17" s="7">
        <f>+A17-$B$2</f>
        <v>-544</v>
      </c>
      <c r="G17" s="7">
        <f>+B17-$B$2+1</f>
        <v>-487</v>
      </c>
      <c r="H17" s="7">
        <f>+IF(F17&gt;0,1,0)</f>
        <v>0</v>
      </c>
      <c r="I17" s="7">
        <f>+IF(G17&gt;0,1,0)</f>
        <v>0</v>
      </c>
      <c r="J17" s="7">
        <f>+IF(H17+I17=1,C17,0)</f>
        <v>0</v>
      </c>
      <c r="K17" s="7">
        <f t="shared" si="1"/>
        <v>122.68500000000002</v>
      </c>
      <c r="L17" s="7">
        <f>+IF(J17=0,0,K17)</f>
        <v>0</v>
      </c>
      <c r="M17" s="7">
        <f t="shared" si="2"/>
        <v>0</v>
      </c>
      <c r="N17" s="8">
        <f t="shared" si="13"/>
        <v>0</v>
      </c>
      <c r="O17" s="8">
        <f>+IF(N17=L17,50,40)</f>
        <v>50</v>
      </c>
      <c r="P17" s="9">
        <f>+IF(N17=0,0,O17)</f>
        <v>0</v>
      </c>
      <c r="Q17" s="10">
        <f>+IF(N17=0,0,B17)</f>
        <v>0</v>
      </c>
      <c r="R17">
        <f t="shared" si="3"/>
        <v>0</v>
      </c>
      <c r="S17" s="40">
        <f t="shared" si="4"/>
        <v>0</v>
      </c>
      <c r="U17">
        <v>5</v>
      </c>
      <c r="V17">
        <v>8.5</v>
      </c>
      <c r="W17">
        <f t="shared" si="5"/>
        <v>3.5</v>
      </c>
      <c r="X17" s="32">
        <f t="shared" si="6"/>
        <v>0.7</v>
      </c>
      <c r="Y17" s="32">
        <f t="shared" si="7"/>
        <v>0</v>
      </c>
      <c r="Z17" s="41">
        <f t="shared" si="8"/>
        <v>0</v>
      </c>
      <c r="AA17" s="42">
        <f t="shared" si="9"/>
        <v>0</v>
      </c>
      <c r="AB17" s="39">
        <f t="shared" si="10"/>
        <v>0</v>
      </c>
      <c r="AC17" s="41">
        <f t="shared" si="11"/>
        <v>0</v>
      </c>
      <c r="AD17" s="39">
        <f t="shared" si="12"/>
        <v>0</v>
      </c>
    </row>
    <row r="18" spans="1:30" ht="12.75" customHeight="1" hidden="1">
      <c r="A18" s="36">
        <f>+B13+1</f>
        <v>41642</v>
      </c>
      <c r="B18" s="37">
        <f>+A18+56</f>
        <v>41698</v>
      </c>
      <c r="C18" s="7">
        <f>+C$17</f>
        <v>122.68500000000002</v>
      </c>
      <c r="D18" s="11">
        <f>+C18*0.7*AP$2</f>
        <v>98.761425</v>
      </c>
      <c r="E18" s="7">
        <f aca="true" t="shared" si="14" ref="E18:E29">+B$58+U18*7*$S$31</f>
        <v>77.885</v>
      </c>
      <c r="F18" s="7">
        <f aca="true" t="shared" si="15" ref="F18:F24">+A18-$B$2</f>
        <v>-179</v>
      </c>
      <c r="G18" s="7">
        <f aca="true" t="shared" si="16" ref="G18:G24">+B18-$B$2+1</f>
        <v>-122</v>
      </c>
      <c r="H18" s="7">
        <f aca="true" t="shared" si="17" ref="H18:H24">+IF(F18&gt;0,1,0)</f>
        <v>0</v>
      </c>
      <c r="I18" s="7">
        <f aca="true" t="shared" si="18" ref="I18:I24">+IF(G18&gt;0,1,0)</f>
        <v>0</v>
      </c>
      <c r="J18" s="7">
        <f aca="true" t="shared" si="19" ref="J18:J24">+IF(H18+I18=1,C18,0)</f>
        <v>0</v>
      </c>
      <c r="K18" s="7">
        <f t="shared" si="1"/>
        <v>122.68500000000002</v>
      </c>
      <c r="L18" s="7">
        <f aca="true" t="shared" si="20" ref="L18:L24">+IF(J18=0,0,K18)</f>
        <v>0</v>
      </c>
      <c r="M18" s="7">
        <f t="shared" si="2"/>
        <v>0</v>
      </c>
      <c r="N18" s="8">
        <f t="shared" si="13"/>
        <v>0</v>
      </c>
      <c r="O18" s="8">
        <f aca="true" t="shared" si="21" ref="O18:O24">+IF(N18=L18,50,40)</f>
        <v>50</v>
      </c>
      <c r="P18" s="9">
        <f aca="true" t="shared" si="22" ref="P18:P24">+IF(N18=0,0,O18)</f>
        <v>0</v>
      </c>
      <c r="Q18" s="10">
        <f aca="true" t="shared" si="23" ref="Q18:Q24">+IF(N18=0,0,B18)</f>
        <v>0</v>
      </c>
      <c r="R18">
        <f t="shared" si="3"/>
        <v>0</v>
      </c>
      <c r="S18" s="40">
        <f t="shared" si="4"/>
        <v>0</v>
      </c>
      <c r="U18" s="7">
        <f>+U17</f>
        <v>5</v>
      </c>
      <c r="V18" s="7">
        <f>+V17</f>
        <v>8.5</v>
      </c>
      <c r="W18">
        <f t="shared" si="5"/>
        <v>3.5</v>
      </c>
      <c r="X18" s="32">
        <f t="shared" si="6"/>
        <v>0.7</v>
      </c>
      <c r="Y18" s="32">
        <f t="shared" si="7"/>
        <v>0</v>
      </c>
      <c r="Z18" s="41">
        <f t="shared" si="8"/>
        <v>0</v>
      </c>
      <c r="AA18" s="42">
        <f t="shared" si="9"/>
        <v>0</v>
      </c>
      <c r="AB18" s="39">
        <f t="shared" si="10"/>
        <v>0</v>
      </c>
      <c r="AC18" s="41">
        <f t="shared" si="11"/>
        <v>0</v>
      </c>
      <c r="AD18" s="39">
        <f t="shared" si="12"/>
        <v>0</v>
      </c>
    </row>
    <row r="19" spans="1:30" ht="12.75" customHeight="1" hidden="1">
      <c r="A19" s="36">
        <f aca="true" t="shared" si="24" ref="A19:A29">+B18+1</f>
        <v>41699</v>
      </c>
      <c r="B19" s="37">
        <f>+A19+106</f>
        <v>41805</v>
      </c>
      <c r="C19" s="7">
        <f>+C$15</f>
        <v>96.15899999999999</v>
      </c>
      <c r="D19" s="11">
        <f>+C19*0.7*AP$2</f>
        <v>77.40799499999999</v>
      </c>
      <c r="E19" s="7">
        <f t="shared" si="14"/>
        <v>79.439</v>
      </c>
      <c r="F19" s="7">
        <f t="shared" si="15"/>
        <v>-122</v>
      </c>
      <c r="G19" s="7">
        <f t="shared" si="16"/>
        <v>-15</v>
      </c>
      <c r="H19" s="7">
        <f t="shared" si="17"/>
        <v>0</v>
      </c>
      <c r="I19" s="7">
        <f t="shared" si="18"/>
        <v>0</v>
      </c>
      <c r="J19" s="7">
        <f t="shared" si="19"/>
        <v>0</v>
      </c>
      <c r="K19" s="7">
        <f t="shared" si="1"/>
        <v>96.15899999999999</v>
      </c>
      <c r="L19" s="7">
        <f t="shared" si="20"/>
        <v>0</v>
      </c>
      <c r="M19" s="7">
        <f t="shared" si="2"/>
        <v>0</v>
      </c>
      <c r="N19" s="8">
        <f t="shared" si="13"/>
        <v>0</v>
      </c>
      <c r="O19" s="8">
        <f t="shared" si="21"/>
        <v>50</v>
      </c>
      <c r="P19" s="9">
        <f t="shared" si="22"/>
        <v>0</v>
      </c>
      <c r="Q19" s="10">
        <f t="shared" si="23"/>
        <v>0</v>
      </c>
      <c r="R19">
        <f t="shared" si="3"/>
        <v>0</v>
      </c>
      <c r="S19" s="40">
        <f t="shared" si="4"/>
        <v>0</v>
      </c>
      <c r="U19" s="7">
        <f>+U15</f>
        <v>7</v>
      </c>
      <c r="V19" s="7">
        <f>+V15</f>
        <v>11.5</v>
      </c>
      <c r="W19">
        <f aca="true" t="shared" si="25" ref="W19:W24">+V19-U19</f>
        <v>4.5</v>
      </c>
      <c r="X19" s="32">
        <f aca="true" t="shared" si="26" ref="X19:X24">+W19/U19</f>
        <v>0.6428571428571429</v>
      </c>
      <c r="Y19" s="32">
        <f aca="true" t="shared" si="27" ref="Y19:Y24">+IF(L19=0,0,D19)</f>
        <v>0</v>
      </c>
      <c r="Z19" s="41">
        <f aca="true" t="shared" si="28" ref="Z19:Z29">+IF(N19=0,0,U19*AQ$4*(B$3-B$2)+AQ$5*(B$3-B$2)+20+25)</f>
        <v>0</v>
      </c>
      <c r="AA19" s="42">
        <f aca="true" t="shared" si="29" ref="AA19:AA29">+IF(K19=D19,AC19,Z19)</f>
        <v>0</v>
      </c>
      <c r="AB19" s="39">
        <f aca="true" t="shared" si="30" ref="AB19:AB29">+MIN(AA19,AC19)</f>
        <v>0</v>
      </c>
      <c r="AC19" s="41">
        <f aca="true" t="shared" si="31" ref="AC19:AC29">+IF(N19=0,0,U19/2*AQ$4*(B$3-B$2)+AQ$5*(B$3-B$2)+20+25)</f>
        <v>0</v>
      </c>
      <c r="AD19" s="39">
        <f aca="true" t="shared" si="32" ref="AD19:AD29">+IF(P19=40,(E$58)*(B$3-B$2)+25,AA19)</f>
        <v>0</v>
      </c>
    </row>
    <row r="20" spans="1:30" ht="12.75" customHeight="1" hidden="1">
      <c r="A20" s="36">
        <f t="shared" si="24"/>
        <v>41806</v>
      </c>
      <c r="B20" s="37">
        <f>+A20+121</f>
        <v>41927</v>
      </c>
      <c r="C20" s="7">
        <f>+C$14</f>
        <v>173.95139999999998</v>
      </c>
      <c r="D20" s="7">
        <f>+C20*0.7</f>
        <v>121.76597999999997</v>
      </c>
      <c r="E20" s="7">
        <f t="shared" si="14"/>
        <v>82.2362</v>
      </c>
      <c r="F20" s="7">
        <f t="shared" si="15"/>
        <v>-15</v>
      </c>
      <c r="G20" s="7">
        <f t="shared" si="16"/>
        <v>107</v>
      </c>
      <c r="H20" s="7">
        <f t="shared" si="17"/>
        <v>0</v>
      </c>
      <c r="I20" s="7">
        <f t="shared" si="18"/>
        <v>1</v>
      </c>
      <c r="J20" s="7">
        <f t="shared" si="19"/>
        <v>173.95139999999998</v>
      </c>
      <c r="K20" s="7">
        <f t="shared" si="1"/>
        <v>173.95139999999998</v>
      </c>
      <c r="L20" s="7">
        <f t="shared" si="20"/>
        <v>173.95139999999998</v>
      </c>
      <c r="M20" s="7">
        <f t="shared" si="2"/>
        <v>173.95139999999998</v>
      </c>
      <c r="N20" s="8">
        <f t="shared" si="13"/>
        <v>173.95139999999998</v>
      </c>
      <c r="O20" s="8">
        <f t="shared" si="21"/>
        <v>50</v>
      </c>
      <c r="P20" s="9">
        <f t="shared" si="22"/>
        <v>50</v>
      </c>
      <c r="Q20" s="10">
        <f t="shared" si="23"/>
        <v>41927</v>
      </c>
      <c r="R20">
        <f t="shared" si="3"/>
        <v>0</v>
      </c>
      <c r="S20" s="40">
        <f t="shared" si="4"/>
        <v>0</v>
      </c>
      <c r="U20" s="7">
        <f>+U14</f>
        <v>10.6</v>
      </c>
      <c r="V20" s="7">
        <f>+V14</f>
        <v>13.7</v>
      </c>
      <c r="W20">
        <f t="shared" si="25"/>
        <v>3.0999999999999996</v>
      </c>
      <c r="X20" s="32">
        <f t="shared" si="26"/>
        <v>0.29245283018867924</v>
      </c>
      <c r="Y20" s="32">
        <f t="shared" si="27"/>
        <v>121.76597999999997</v>
      </c>
      <c r="Z20" s="41">
        <f t="shared" si="28"/>
        <v>384.644</v>
      </c>
      <c r="AA20" s="42">
        <f t="shared" si="29"/>
        <v>384.644</v>
      </c>
      <c r="AB20" s="39">
        <f t="shared" si="30"/>
        <v>215.04399999999998</v>
      </c>
      <c r="AC20" s="41">
        <f t="shared" si="31"/>
        <v>215.04399999999998</v>
      </c>
      <c r="AD20" s="39">
        <f t="shared" si="32"/>
        <v>384.644</v>
      </c>
    </row>
    <row r="21" spans="1:30" ht="12.75" customHeight="1" hidden="1">
      <c r="A21" s="36">
        <f t="shared" si="24"/>
        <v>41928</v>
      </c>
      <c r="B21" s="37">
        <f>+A21+64</f>
        <v>41992</v>
      </c>
      <c r="C21" s="7">
        <f>+C$16</f>
        <v>94.605</v>
      </c>
      <c r="D21" s="11">
        <f>+C21*0.7*AP$2</f>
        <v>76.15702499999999</v>
      </c>
      <c r="E21" s="7">
        <f t="shared" si="14"/>
        <v>77.885</v>
      </c>
      <c r="F21" s="7">
        <f t="shared" si="15"/>
        <v>107</v>
      </c>
      <c r="G21" s="7">
        <f t="shared" si="16"/>
        <v>172</v>
      </c>
      <c r="H21" s="7">
        <f t="shared" si="17"/>
        <v>1</v>
      </c>
      <c r="I21" s="7">
        <f t="shared" si="18"/>
        <v>1</v>
      </c>
      <c r="J21" s="7">
        <f t="shared" si="19"/>
        <v>0</v>
      </c>
      <c r="K21" s="7">
        <f t="shared" si="1"/>
        <v>94.605</v>
      </c>
      <c r="L21" s="7">
        <f t="shared" si="20"/>
        <v>0</v>
      </c>
      <c r="M21" s="7">
        <f t="shared" si="2"/>
        <v>0</v>
      </c>
      <c r="N21" s="8">
        <f t="shared" si="13"/>
        <v>0</v>
      </c>
      <c r="O21" s="8">
        <f t="shared" si="21"/>
        <v>50</v>
      </c>
      <c r="P21" s="9">
        <f t="shared" si="22"/>
        <v>0</v>
      </c>
      <c r="Q21" s="10">
        <f t="shared" si="23"/>
        <v>0</v>
      </c>
      <c r="R21">
        <f t="shared" si="3"/>
        <v>0</v>
      </c>
      <c r="S21" s="40">
        <f t="shared" si="4"/>
        <v>0</v>
      </c>
      <c r="U21" s="7">
        <f>+U16</f>
        <v>5</v>
      </c>
      <c r="V21" s="7">
        <f>+V16</f>
        <v>8.5</v>
      </c>
      <c r="W21">
        <f t="shared" si="25"/>
        <v>3.5</v>
      </c>
      <c r="X21" s="32">
        <f t="shared" si="26"/>
        <v>0.7</v>
      </c>
      <c r="Y21" s="32">
        <f t="shared" si="27"/>
        <v>0</v>
      </c>
      <c r="Z21" s="41">
        <f t="shared" si="28"/>
        <v>0</v>
      </c>
      <c r="AA21" s="42">
        <f t="shared" si="29"/>
        <v>0</v>
      </c>
      <c r="AB21" s="39">
        <f t="shared" si="30"/>
        <v>0</v>
      </c>
      <c r="AC21" s="41">
        <f t="shared" si="31"/>
        <v>0</v>
      </c>
      <c r="AD21" s="39">
        <f t="shared" si="32"/>
        <v>0</v>
      </c>
    </row>
    <row r="22" spans="1:30" ht="12.75" customHeight="1" hidden="1">
      <c r="A22" s="36">
        <f t="shared" si="24"/>
        <v>41993</v>
      </c>
      <c r="B22" s="37">
        <f>+A22+13</f>
        <v>42006</v>
      </c>
      <c r="C22" s="7">
        <f>+C$13</f>
        <v>176.3601</v>
      </c>
      <c r="D22" s="7">
        <f>+C22*0.7</f>
        <v>123.45206999999998</v>
      </c>
      <c r="E22" s="7">
        <f t="shared" si="14"/>
        <v>84.6449</v>
      </c>
      <c r="F22" s="7">
        <f t="shared" si="15"/>
        <v>172</v>
      </c>
      <c r="G22" s="7">
        <f t="shared" si="16"/>
        <v>186</v>
      </c>
      <c r="H22" s="7">
        <f t="shared" si="17"/>
        <v>1</v>
      </c>
      <c r="I22" s="7">
        <f t="shared" si="18"/>
        <v>1</v>
      </c>
      <c r="J22" s="7">
        <f t="shared" si="19"/>
        <v>0</v>
      </c>
      <c r="K22" s="7">
        <f t="shared" si="1"/>
        <v>176.3601</v>
      </c>
      <c r="L22" s="7">
        <f t="shared" si="20"/>
        <v>0</v>
      </c>
      <c r="M22" s="7">
        <f t="shared" si="2"/>
        <v>0</v>
      </c>
      <c r="N22" s="8">
        <f t="shared" si="13"/>
        <v>0</v>
      </c>
      <c r="O22" s="8">
        <f t="shared" si="21"/>
        <v>50</v>
      </c>
      <c r="P22" s="9">
        <f t="shared" si="22"/>
        <v>0</v>
      </c>
      <c r="Q22" s="10">
        <f t="shared" si="23"/>
        <v>0</v>
      </c>
      <c r="R22">
        <f t="shared" si="3"/>
        <v>0</v>
      </c>
      <c r="S22" s="40">
        <f t="shared" si="4"/>
        <v>0</v>
      </c>
      <c r="U22" s="7">
        <f>+U13</f>
        <v>13.7</v>
      </c>
      <c r="V22" s="7">
        <f>+V13</f>
        <v>13.7</v>
      </c>
      <c r="W22">
        <f t="shared" si="25"/>
        <v>0</v>
      </c>
      <c r="X22" s="32">
        <f t="shared" si="26"/>
        <v>0</v>
      </c>
      <c r="Y22" s="32">
        <f t="shared" si="27"/>
        <v>0</v>
      </c>
      <c r="Z22" s="41">
        <f t="shared" si="28"/>
        <v>0</v>
      </c>
      <c r="AA22" s="42">
        <f t="shared" si="29"/>
        <v>0</v>
      </c>
      <c r="AB22" s="39">
        <f t="shared" si="30"/>
        <v>0</v>
      </c>
      <c r="AC22" s="41">
        <f t="shared" si="31"/>
        <v>0</v>
      </c>
      <c r="AD22" s="39">
        <f t="shared" si="32"/>
        <v>0</v>
      </c>
    </row>
    <row r="23" spans="1:30" ht="12.75" customHeight="1" hidden="1">
      <c r="A23" s="36">
        <f t="shared" si="24"/>
        <v>42007</v>
      </c>
      <c r="B23" s="37">
        <f>+A23+56</f>
        <v>42063</v>
      </c>
      <c r="C23" s="7">
        <f>+C$17</f>
        <v>122.68500000000002</v>
      </c>
      <c r="D23" s="11">
        <f>+C23*0.7*AP$2</f>
        <v>98.761425</v>
      </c>
      <c r="E23" s="7">
        <f t="shared" si="14"/>
        <v>77.885</v>
      </c>
      <c r="F23" s="7">
        <f t="shared" si="15"/>
        <v>186</v>
      </c>
      <c r="G23" s="7">
        <f t="shared" si="16"/>
        <v>243</v>
      </c>
      <c r="H23" s="7">
        <f t="shared" si="17"/>
        <v>1</v>
      </c>
      <c r="I23" s="7">
        <f t="shared" si="18"/>
        <v>1</v>
      </c>
      <c r="J23" s="7">
        <f t="shared" si="19"/>
        <v>0</v>
      </c>
      <c r="K23" s="7">
        <f t="shared" si="1"/>
        <v>122.68500000000002</v>
      </c>
      <c r="L23" s="7">
        <f t="shared" si="20"/>
        <v>0</v>
      </c>
      <c r="M23" s="7">
        <f t="shared" si="2"/>
        <v>0</v>
      </c>
      <c r="N23" s="8">
        <f t="shared" si="13"/>
        <v>0</v>
      </c>
      <c r="O23" s="8">
        <f t="shared" si="21"/>
        <v>50</v>
      </c>
      <c r="P23" s="9">
        <f t="shared" si="22"/>
        <v>0</v>
      </c>
      <c r="Q23" s="10">
        <f t="shared" si="23"/>
        <v>0</v>
      </c>
      <c r="R23">
        <f t="shared" si="3"/>
        <v>0</v>
      </c>
      <c r="S23" s="40">
        <f t="shared" si="4"/>
        <v>0</v>
      </c>
      <c r="U23" s="7">
        <f>+U17</f>
        <v>5</v>
      </c>
      <c r="V23" s="7">
        <f>+V17</f>
        <v>8.5</v>
      </c>
      <c r="W23">
        <f t="shared" si="25"/>
        <v>3.5</v>
      </c>
      <c r="X23" s="32">
        <f t="shared" si="26"/>
        <v>0.7</v>
      </c>
      <c r="Y23" s="32">
        <f t="shared" si="27"/>
        <v>0</v>
      </c>
      <c r="Z23" s="41">
        <f t="shared" si="28"/>
        <v>0</v>
      </c>
      <c r="AA23" s="42">
        <f t="shared" si="29"/>
        <v>0</v>
      </c>
      <c r="AB23" s="39">
        <f t="shared" si="30"/>
        <v>0</v>
      </c>
      <c r="AC23" s="41">
        <f t="shared" si="31"/>
        <v>0</v>
      </c>
      <c r="AD23" s="39">
        <f t="shared" si="32"/>
        <v>0</v>
      </c>
    </row>
    <row r="24" spans="1:30" ht="12.75" customHeight="1" hidden="1">
      <c r="A24" s="36">
        <f t="shared" si="24"/>
        <v>42064</v>
      </c>
      <c r="B24" s="37">
        <f>+A24+106</f>
        <v>42170</v>
      </c>
      <c r="C24" s="7">
        <f>+C$15</f>
        <v>96.15899999999999</v>
      </c>
      <c r="D24" s="11">
        <f>+C24*0.7*AP$2</f>
        <v>77.40799499999999</v>
      </c>
      <c r="E24" s="7">
        <f t="shared" si="14"/>
        <v>79.439</v>
      </c>
      <c r="F24" s="7">
        <f t="shared" si="15"/>
        <v>243</v>
      </c>
      <c r="G24" s="7">
        <f t="shared" si="16"/>
        <v>350</v>
      </c>
      <c r="H24" s="7">
        <f t="shared" si="17"/>
        <v>1</v>
      </c>
      <c r="I24" s="7">
        <f t="shared" si="18"/>
        <v>1</v>
      </c>
      <c r="J24" s="7">
        <f t="shared" si="19"/>
        <v>0</v>
      </c>
      <c r="K24" s="7">
        <f t="shared" si="1"/>
        <v>96.15899999999999</v>
      </c>
      <c r="L24" s="7">
        <f t="shared" si="20"/>
        <v>0</v>
      </c>
      <c r="M24" s="7">
        <f t="shared" si="2"/>
        <v>0</v>
      </c>
      <c r="N24" s="8">
        <f t="shared" si="13"/>
        <v>0</v>
      </c>
      <c r="O24" s="8">
        <f t="shared" si="21"/>
        <v>50</v>
      </c>
      <c r="P24" s="9">
        <f t="shared" si="22"/>
        <v>0</v>
      </c>
      <c r="Q24" s="10">
        <f t="shared" si="23"/>
        <v>0</v>
      </c>
      <c r="R24">
        <f t="shared" si="3"/>
        <v>0</v>
      </c>
      <c r="S24" s="40">
        <f t="shared" si="4"/>
        <v>0</v>
      </c>
      <c r="U24" s="7">
        <f>+U15</f>
        <v>7</v>
      </c>
      <c r="V24" s="7">
        <f>+V15</f>
        <v>11.5</v>
      </c>
      <c r="W24">
        <f t="shared" si="25"/>
        <v>4.5</v>
      </c>
      <c r="X24" s="32">
        <f t="shared" si="26"/>
        <v>0.6428571428571429</v>
      </c>
      <c r="Y24" s="32">
        <f t="shared" si="27"/>
        <v>0</v>
      </c>
      <c r="Z24" s="41">
        <f t="shared" si="28"/>
        <v>0</v>
      </c>
      <c r="AA24" s="42">
        <f t="shared" si="29"/>
        <v>0</v>
      </c>
      <c r="AB24" s="39">
        <f t="shared" si="30"/>
        <v>0</v>
      </c>
      <c r="AC24" s="41">
        <f t="shared" si="31"/>
        <v>0</v>
      </c>
      <c r="AD24" s="39">
        <f t="shared" si="32"/>
        <v>0</v>
      </c>
    </row>
    <row r="25" spans="1:30" ht="12.75" customHeight="1" hidden="1">
      <c r="A25" s="36">
        <f t="shared" si="24"/>
        <v>42171</v>
      </c>
      <c r="B25" s="37">
        <f>+A25+121</f>
        <v>42292</v>
      </c>
      <c r="C25" s="7">
        <f>+C$14</f>
        <v>173.95139999999998</v>
      </c>
      <c r="D25" s="7">
        <f>+C25*0.7</f>
        <v>121.76597999999997</v>
      </c>
      <c r="E25" s="7">
        <f t="shared" si="14"/>
        <v>79.439</v>
      </c>
      <c r="F25" s="7">
        <f>+A25-$B$2</f>
        <v>350</v>
      </c>
      <c r="G25" s="7">
        <f>+B25-$B$2+1</f>
        <v>472</v>
      </c>
      <c r="H25" s="7">
        <f aca="true" t="shared" si="33" ref="H25:I29">+IF(F25&gt;0,1,0)</f>
        <v>1</v>
      </c>
      <c r="I25" s="7">
        <f t="shared" si="33"/>
        <v>1</v>
      </c>
      <c r="J25" s="7">
        <f>+IF(H25+I25=1,C25,0)</f>
        <v>0</v>
      </c>
      <c r="K25" s="7">
        <f t="shared" si="1"/>
        <v>173.95139999999998</v>
      </c>
      <c r="L25" s="7">
        <f>+IF(J25=0,0,K25)</f>
        <v>0</v>
      </c>
      <c r="M25" s="7">
        <f t="shared" si="2"/>
        <v>0</v>
      </c>
      <c r="N25" s="8">
        <f>+IF(M25&gt;L25+3,L25,M25)</f>
        <v>0</v>
      </c>
      <c r="O25" s="8">
        <f>+IF(N25=L25,50,40)</f>
        <v>50</v>
      </c>
      <c r="P25" s="9">
        <f>+IF(N25=0,0,O25)</f>
        <v>0</v>
      </c>
      <c r="Q25" s="10">
        <f>+IF(N25=0,0,B25)</f>
        <v>0</v>
      </c>
      <c r="R25">
        <f>+IF(C$10&gt;0,C$10*N25*X25,0)</f>
        <v>0</v>
      </c>
      <c r="S25" s="40">
        <f t="shared" si="4"/>
        <v>0</v>
      </c>
      <c r="U25" s="7">
        <f>+U19</f>
        <v>7</v>
      </c>
      <c r="V25" s="7">
        <f>+V19</f>
        <v>11.5</v>
      </c>
      <c r="W25">
        <f>+V25-U25</f>
        <v>4.5</v>
      </c>
      <c r="X25" s="32">
        <f>+W25/U25</f>
        <v>0.6428571428571429</v>
      </c>
      <c r="Y25" s="32">
        <f>+IF(L25=0,0,D25)</f>
        <v>0</v>
      </c>
      <c r="Z25" s="41">
        <f t="shared" si="28"/>
        <v>0</v>
      </c>
      <c r="AA25" s="42">
        <f t="shared" si="29"/>
        <v>0</v>
      </c>
      <c r="AB25" s="39">
        <f t="shared" si="30"/>
        <v>0</v>
      </c>
      <c r="AC25" s="41">
        <f t="shared" si="31"/>
        <v>0</v>
      </c>
      <c r="AD25" s="39">
        <f t="shared" si="32"/>
        <v>0</v>
      </c>
    </row>
    <row r="26" spans="1:30" ht="12.75" customHeight="1" hidden="1">
      <c r="A26" s="36">
        <f t="shared" si="24"/>
        <v>42293</v>
      </c>
      <c r="B26" s="37">
        <f>+A26+64</f>
        <v>42357</v>
      </c>
      <c r="C26" s="7">
        <f>+C$16</f>
        <v>94.605</v>
      </c>
      <c r="D26" s="11">
        <f>+C26*0.7*AP$2</f>
        <v>76.15702499999999</v>
      </c>
      <c r="E26" s="7">
        <f t="shared" si="14"/>
        <v>77.885</v>
      </c>
      <c r="F26" s="7">
        <f>+A26-$B$2</f>
        <v>472</v>
      </c>
      <c r="G26" s="7">
        <f>+B26-$B$2+1</f>
        <v>537</v>
      </c>
      <c r="H26" s="7">
        <f t="shared" si="33"/>
        <v>1</v>
      </c>
      <c r="I26" s="7">
        <f t="shared" si="33"/>
        <v>1</v>
      </c>
      <c r="J26" s="7">
        <f>+IF(H26+I26=1,C26,0)</f>
        <v>0</v>
      </c>
      <c r="K26" s="7">
        <f t="shared" si="1"/>
        <v>94.605</v>
      </c>
      <c r="L26" s="7">
        <f>+IF(J26=0,0,K26)</f>
        <v>0</v>
      </c>
      <c r="M26" s="7">
        <f t="shared" si="2"/>
        <v>0</v>
      </c>
      <c r="N26" s="8">
        <f>+IF(M26&gt;L26+3,L26,M26)</f>
        <v>0</v>
      </c>
      <c r="O26" s="8">
        <f>+IF(N26=L26,50,40)</f>
        <v>50</v>
      </c>
      <c r="P26" s="9">
        <f>+IF(N26=0,0,O26)</f>
        <v>0</v>
      </c>
      <c r="Q26" s="10">
        <f>+IF(N26=0,0,B26)</f>
        <v>0</v>
      </c>
      <c r="R26">
        <f>+IF(C$10&gt;0,C$10*N26*X26,0)</f>
        <v>0</v>
      </c>
      <c r="S26" s="40">
        <f t="shared" si="4"/>
        <v>0</v>
      </c>
      <c r="U26" s="7">
        <f>+U21</f>
        <v>5</v>
      </c>
      <c r="V26" s="7">
        <f>+V21</f>
        <v>8.5</v>
      </c>
      <c r="W26">
        <f>+V26-U26</f>
        <v>3.5</v>
      </c>
      <c r="X26" s="32">
        <f>+W26/U26</f>
        <v>0.7</v>
      </c>
      <c r="Y26" s="32">
        <f>+IF(L26=0,0,D26)</f>
        <v>0</v>
      </c>
      <c r="Z26" s="41">
        <f t="shared" si="28"/>
        <v>0</v>
      </c>
      <c r="AA26" s="42">
        <f t="shared" si="29"/>
        <v>0</v>
      </c>
      <c r="AB26" s="39">
        <f t="shared" si="30"/>
        <v>0</v>
      </c>
      <c r="AC26" s="41">
        <f t="shared" si="31"/>
        <v>0</v>
      </c>
      <c r="AD26" s="39">
        <f t="shared" si="32"/>
        <v>0</v>
      </c>
    </row>
    <row r="27" spans="1:30" ht="12.75" customHeight="1" hidden="1">
      <c r="A27" s="36">
        <f t="shared" si="24"/>
        <v>42358</v>
      </c>
      <c r="B27" s="37">
        <f>+A27+13</f>
        <v>42371</v>
      </c>
      <c r="C27" s="7">
        <f>+C$13</f>
        <v>176.3601</v>
      </c>
      <c r="D27" s="7">
        <f>+C27*0.7</f>
        <v>123.45206999999998</v>
      </c>
      <c r="E27" s="7">
        <f t="shared" si="14"/>
        <v>77.885</v>
      </c>
      <c r="F27" s="7">
        <f>+A27-$B$2</f>
        <v>537</v>
      </c>
      <c r="G27" s="7">
        <f>+B27-$B$2+1</f>
        <v>551</v>
      </c>
      <c r="H27" s="7">
        <f t="shared" si="33"/>
        <v>1</v>
      </c>
      <c r="I27" s="7">
        <f t="shared" si="33"/>
        <v>1</v>
      </c>
      <c r="J27" s="7">
        <f>+IF(H27+I27=1,C27,0)</f>
        <v>0</v>
      </c>
      <c r="K27" s="7">
        <f t="shared" si="1"/>
        <v>176.3601</v>
      </c>
      <c r="L27" s="7">
        <f>+IF(J27=0,0,K27)</f>
        <v>0</v>
      </c>
      <c r="M27" s="7">
        <f t="shared" si="2"/>
        <v>0</v>
      </c>
      <c r="N27" s="8">
        <f>+IF(M27&gt;L27+3,L27,M27)</f>
        <v>0</v>
      </c>
      <c r="O27" s="8">
        <f>+IF(N27=L27,50,40)</f>
        <v>50</v>
      </c>
      <c r="P27" s="9">
        <f>+IF(N27=0,0,O27)</f>
        <v>0</v>
      </c>
      <c r="Q27" s="10">
        <f>+IF(N27=0,0,B27)</f>
        <v>0</v>
      </c>
      <c r="R27">
        <f>+IF(C$10&gt;0,C$10*N27*X27,0)</f>
        <v>0</v>
      </c>
      <c r="S27" s="40">
        <f t="shared" si="4"/>
        <v>0</v>
      </c>
      <c r="U27" s="7">
        <f>+U18</f>
        <v>5</v>
      </c>
      <c r="V27" s="7">
        <f>+V18</f>
        <v>8.5</v>
      </c>
      <c r="W27">
        <f>+V27-U27</f>
        <v>3.5</v>
      </c>
      <c r="X27" s="32">
        <f>+W27/U27</f>
        <v>0.7</v>
      </c>
      <c r="Y27" s="32">
        <f>+IF(L27=0,0,D27)</f>
        <v>0</v>
      </c>
      <c r="Z27" s="41">
        <f t="shared" si="28"/>
        <v>0</v>
      </c>
      <c r="AA27" s="42">
        <f t="shared" si="29"/>
        <v>0</v>
      </c>
      <c r="AB27" s="39">
        <f t="shared" si="30"/>
        <v>0</v>
      </c>
      <c r="AC27" s="41">
        <f t="shared" si="31"/>
        <v>0</v>
      </c>
      <c r="AD27" s="39">
        <f t="shared" si="32"/>
        <v>0</v>
      </c>
    </row>
    <row r="28" spans="1:30" ht="12.75" customHeight="1" hidden="1">
      <c r="A28" s="36">
        <f t="shared" si="24"/>
        <v>42372</v>
      </c>
      <c r="B28" s="37">
        <f>+A28+56</f>
        <v>42428</v>
      </c>
      <c r="C28" s="7">
        <f>+C$17</f>
        <v>122.68500000000002</v>
      </c>
      <c r="D28" s="11">
        <f>+C28*0.7*AP$2</f>
        <v>98.761425</v>
      </c>
      <c r="E28" s="7">
        <f t="shared" si="14"/>
        <v>84.6449</v>
      </c>
      <c r="F28" s="7">
        <f>+A28-$B$2</f>
        <v>551</v>
      </c>
      <c r="G28" s="7">
        <f>+B28-$B$2+1</f>
        <v>608</v>
      </c>
      <c r="H28" s="7">
        <f t="shared" si="33"/>
        <v>1</v>
      </c>
      <c r="I28" s="7">
        <f t="shared" si="33"/>
        <v>1</v>
      </c>
      <c r="J28" s="7">
        <f>+IF(H28+I28=1,C28,0)</f>
        <v>0</v>
      </c>
      <c r="K28" s="7">
        <f t="shared" si="1"/>
        <v>122.68500000000002</v>
      </c>
      <c r="L28" s="7">
        <f>+IF(J28=0,0,K28)</f>
        <v>0</v>
      </c>
      <c r="M28" s="7">
        <f t="shared" si="2"/>
        <v>0</v>
      </c>
      <c r="N28" s="8">
        <f>+IF(M28&gt;L28+3,L28,M28)</f>
        <v>0</v>
      </c>
      <c r="O28" s="8">
        <f>+IF(N28=L28,50,40)</f>
        <v>50</v>
      </c>
      <c r="P28" s="9">
        <f>+IF(N28=0,0,O28)</f>
        <v>0</v>
      </c>
      <c r="Q28" s="10">
        <f>+IF(N28=0,0,B28)</f>
        <v>0</v>
      </c>
      <c r="R28">
        <f>+IF(C$10&gt;0,C$10*N28*X28,0)</f>
        <v>0</v>
      </c>
      <c r="S28" s="40">
        <f t="shared" si="4"/>
        <v>0</v>
      </c>
      <c r="U28" s="7">
        <f>+U22</f>
        <v>13.7</v>
      </c>
      <c r="V28" s="7">
        <f>+V22</f>
        <v>13.7</v>
      </c>
      <c r="W28">
        <f>+V28-U28</f>
        <v>0</v>
      </c>
      <c r="X28" s="32">
        <f>+W28/U28</f>
        <v>0</v>
      </c>
      <c r="Y28" s="32">
        <f>+IF(L28=0,0,D28)</f>
        <v>0</v>
      </c>
      <c r="Z28" s="41">
        <f t="shared" si="28"/>
        <v>0</v>
      </c>
      <c r="AA28" s="42">
        <f t="shared" si="29"/>
        <v>0</v>
      </c>
      <c r="AB28" s="39">
        <f t="shared" si="30"/>
        <v>0</v>
      </c>
      <c r="AC28" s="41">
        <f t="shared" si="31"/>
        <v>0</v>
      </c>
      <c r="AD28" s="39">
        <f t="shared" si="32"/>
        <v>0</v>
      </c>
    </row>
    <row r="29" spans="1:30" ht="12.75" customHeight="1" hidden="1">
      <c r="A29" s="36">
        <f t="shared" si="24"/>
        <v>42429</v>
      </c>
      <c r="B29" s="37">
        <f>+A29+106</f>
        <v>42535</v>
      </c>
      <c r="C29" s="7">
        <f>+C$15</f>
        <v>96.15899999999999</v>
      </c>
      <c r="D29" s="11">
        <f>+C29*0.7*AP$2</f>
        <v>77.40799499999999</v>
      </c>
      <c r="E29" s="7">
        <f t="shared" si="14"/>
        <v>82.2362</v>
      </c>
      <c r="F29" s="7">
        <f>+A29-$B$2</f>
        <v>608</v>
      </c>
      <c r="G29" s="7">
        <f>+B29-$B$2+1</f>
        <v>715</v>
      </c>
      <c r="H29" s="7">
        <f t="shared" si="33"/>
        <v>1</v>
      </c>
      <c r="I29" s="7">
        <f t="shared" si="33"/>
        <v>1</v>
      </c>
      <c r="J29" s="7">
        <f>+IF(H29+I29=1,C29,0)</f>
        <v>0</v>
      </c>
      <c r="K29" s="7">
        <f t="shared" si="1"/>
        <v>96.15899999999999</v>
      </c>
      <c r="L29" s="7">
        <f>+IF(J29=0,0,K29)</f>
        <v>0</v>
      </c>
      <c r="M29" s="7">
        <f t="shared" si="2"/>
        <v>0</v>
      </c>
      <c r="N29" s="8">
        <f>+IF(M29&gt;L29+3,L29,M29)</f>
        <v>0</v>
      </c>
      <c r="O29" s="8">
        <f>+IF(N29=L29,50,40)</f>
        <v>50</v>
      </c>
      <c r="P29" s="9">
        <f>+IF(N29=0,0,O29)</f>
        <v>0</v>
      </c>
      <c r="Q29" s="10">
        <f>+IF(N29=0,0,B29)</f>
        <v>0</v>
      </c>
      <c r="R29">
        <f>+IF(C$10&gt;0,C$10*N29*X29,0)</f>
        <v>0</v>
      </c>
      <c r="S29" s="40">
        <f t="shared" si="4"/>
        <v>0</v>
      </c>
      <c r="U29" s="7">
        <f>+U20</f>
        <v>10.6</v>
      </c>
      <c r="V29" s="7">
        <f>+V20</f>
        <v>13.7</v>
      </c>
      <c r="W29">
        <f>+V29-U29</f>
        <v>3.0999999999999996</v>
      </c>
      <c r="X29" s="32">
        <f>+W29/U29</f>
        <v>0.29245283018867924</v>
      </c>
      <c r="Y29" s="32">
        <f>+IF(L29=0,0,D29)</f>
        <v>0</v>
      </c>
      <c r="Z29" s="41">
        <f t="shared" si="28"/>
        <v>0</v>
      </c>
      <c r="AA29" s="42">
        <f t="shared" si="29"/>
        <v>0</v>
      </c>
      <c r="AB29" s="39">
        <f t="shared" si="30"/>
        <v>0</v>
      </c>
      <c r="AC29" s="41">
        <f t="shared" si="31"/>
        <v>0</v>
      </c>
      <c r="AD29" s="39">
        <f t="shared" si="32"/>
        <v>0</v>
      </c>
    </row>
    <row r="30" spans="1:30" ht="13.5" customHeight="1" hidden="1" thickBot="1">
      <c r="A30" s="12"/>
      <c r="B30" s="13"/>
      <c r="C30" s="14">
        <f>+MIN(C13:C17)</f>
        <v>94.605</v>
      </c>
      <c r="D30" s="14">
        <f>+MIN(D13:D17)</f>
        <v>76.15702499999999</v>
      </c>
      <c r="E30" s="13"/>
      <c r="F30" s="13"/>
      <c r="G30" s="13"/>
      <c r="H30" s="13"/>
      <c r="I30" s="13"/>
      <c r="J30" s="14">
        <f>SUM(J13:J29)</f>
        <v>173.95139999999998</v>
      </c>
      <c r="K30" s="13"/>
      <c r="L30" s="14">
        <f>SUM(L13:L29)</f>
        <v>173.95139999999998</v>
      </c>
      <c r="M30" s="13"/>
      <c r="N30" s="14">
        <f>SUM(N13:N29)</f>
        <v>173.95139999999998</v>
      </c>
      <c r="O30" s="13"/>
      <c r="P30" s="14">
        <f>SUM(P13:P29)</f>
        <v>50</v>
      </c>
      <c r="Q30" s="16">
        <f>SUM(Q13:Q29)+1</f>
        <v>41928</v>
      </c>
      <c r="S30" s="99">
        <f>SUM(S13:S24)</f>
        <v>0</v>
      </c>
      <c r="Y30" s="14">
        <f>SUM(Y13:Y24)</f>
        <v>121.76597999999997</v>
      </c>
      <c r="Z30" s="40"/>
      <c r="AA30" s="41">
        <f>SUM(AA13:AA24)</f>
        <v>384.644</v>
      </c>
      <c r="AB30" s="41">
        <f>SUM(AB13:AB24)</f>
        <v>215.04399999999998</v>
      </c>
      <c r="AC30" s="40"/>
      <c r="AD30" s="41">
        <f>SUM(AD13:AD24)</f>
        <v>384.644</v>
      </c>
    </row>
    <row r="31" spans="1:30" ht="13.5" customHeight="1" hidden="1" thickBot="1">
      <c r="A31" s="1"/>
      <c r="B31" s="17">
        <f>+Q30</f>
        <v>41928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00"/>
      <c r="S31" s="3">
        <v>0.111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17" ht="12.75" customHeight="1" hidden="1">
      <c r="A32" s="38">
        <f>+IF(Q30&lt;B3,1,0)</f>
        <v>0</v>
      </c>
      <c r="B32" s="35">
        <f>+B3</f>
        <v>41825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 customHeight="1" hidden="1">
      <c r="A33" s="36">
        <f aca="true" t="shared" si="34" ref="A33:E37">+A13</f>
        <v>41628</v>
      </c>
      <c r="B33" s="37">
        <f t="shared" si="34"/>
        <v>41641</v>
      </c>
      <c r="C33" s="7">
        <f t="shared" si="34"/>
        <v>176.3601</v>
      </c>
      <c r="D33" s="7">
        <f t="shared" si="34"/>
        <v>123.45206999999998</v>
      </c>
      <c r="E33" s="7">
        <f t="shared" si="34"/>
        <v>84.6449</v>
      </c>
      <c r="F33" s="7">
        <f>+A33-$B$31</f>
        <v>-300</v>
      </c>
      <c r="G33" s="7">
        <f>+B33-$B$31</f>
        <v>-287</v>
      </c>
      <c r="H33" s="7">
        <f aca="true" t="shared" si="35" ref="H33:I36">+IF(F33&gt;0,1,0)</f>
        <v>0</v>
      </c>
      <c r="I33" s="7">
        <f t="shared" si="35"/>
        <v>0</v>
      </c>
      <c r="J33" s="7">
        <f>+IF(H33+I33=1,C33,0)</f>
        <v>0</v>
      </c>
      <c r="K33" s="7">
        <f>+IF(B$60&lt;62,D33,C33)</f>
        <v>176.3601</v>
      </c>
      <c r="L33" s="8">
        <f>+IF(J33=0,0,K33)</f>
        <v>0</v>
      </c>
      <c r="M33" s="8">
        <f>+IF(B$60&lt;42,E33,L33)</f>
        <v>0</v>
      </c>
      <c r="N33" s="8">
        <f>+IF(M33&gt;L33+3,L33,M33)</f>
        <v>0</v>
      </c>
      <c r="O33" s="8">
        <f>+IF(N33=L33,50,40)</f>
        <v>50</v>
      </c>
      <c r="P33" s="9">
        <f>+IF(N33=0,0,O33)</f>
        <v>0</v>
      </c>
      <c r="Q33" s="10">
        <f aca="true" t="shared" si="36" ref="Q33:Q43">+IF(N33=0,0,B33)</f>
        <v>0</v>
      </c>
    </row>
    <row r="34" spans="1:17" ht="12.75" customHeight="1" hidden="1">
      <c r="A34" s="36">
        <f t="shared" si="34"/>
        <v>41441</v>
      </c>
      <c r="B34" s="37">
        <f t="shared" si="34"/>
        <v>41562</v>
      </c>
      <c r="C34" s="7">
        <f t="shared" si="34"/>
        <v>173.95139999999998</v>
      </c>
      <c r="D34" s="7">
        <f t="shared" si="34"/>
        <v>121.76597999999997</v>
      </c>
      <c r="E34" s="7">
        <f t="shared" si="34"/>
        <v>82.2362</v>
      </c>
      <c r="F34" s="7">
        <f aca="true" t="shared" si="37" ref="F34:G36">+A34-$B$31</f>
        <v>-487</v>
      </c>
      <c r="G34" s="7">
        <f t="shared" si="37"/>
        <v>-366</v>
      </c>
      <c r="H34" s="7">
        <f t="shared" si="35"/>
        <v>0</v>
      </c>
      <c r="I34" s="7">
        <f t="shared" si="35"/>
        <v>0</v>
      </c>
      <c r="J34" s="7">
        <f>+IF(H34+I34=1,C34,0)</f>
        <v>0</v>
      </c>
      <c r="K34" s="7">
        <f>+IF(B$60&lt;62,D34,C34)</f>
        <v>173.95139999999998</v>
      </c>
      <c r="L34" s="8">
        <f>+IF(J34=0,0,K34)</f>
        <v>0</v>
      </c>
      <c r="M34" s="8">
        <f>+IF(B$60&lt;42,E34,L34)</f>
        <v>0</v>
      </c>
      <c r="N34" s="8">
        <f aca="true" t="shared" si="38" ref="N34:N43">+IF(M34&gt;L34+3,L34,M34)</f>
        <v>0</v>
      </c>
      <c r="O34" s="8">
        <f>+IF(N34=L34,50,40)</f>
        <v>50</v>
      </c>
      <c r="P34" s="9">
        <f>+IF(N34=0,0,O34)</f>
        <v>0</v>
      </c>
      <c r="Q34" s="10">
        <f t="shared" si="36"/>
        <v>0</v>
      </c>
    </row>
    <row r="35" spans="1:17" ht="12.75" customHeight="1" hidden="1">
      <c r="A35" s="36">
        <f t="shared" si="34"/>
        <v>41334</v>
      </c>
      <c r="B35" s="37">
        <f t="shared" si="34"/>
        <v>41440</v>
      </c>
      <c r="C35" s="7">
        <f t="shared" si="34"/>
        <v>96.15899999999999</v>
      </c>
      <c r="D35" s="7">
        <f t="shared" si="34"/>
        <v>77.40799499999999</v>
      </c>
      <c r="E35" s="7">
        <f t="shared" si="34"/>
        <v>79.439</v>
      </c>
      <c r="F35" s="7">
        <f t="shared" si="37"/>
        <v>-594</v>
      </c>
      <c r="G35" s="7">
        <f t="shared" si="37"/>
        <v>-488</v>
      </c>
      <c r="H35" s="7">
        <f t="shared" si="35"/>
        <v>0</v>
      </c>
      <c r="I35" s="7">
        <f t="shared" si="35"/>
        <v>0</v>
      </c>
      <c r="J35" s="7">
        <f>+IF(H35+I35=1,C35,0)</f>
        <v>0</v>
      </c>
      <c r="K35" s="7">
        <f>+IF(B$60&lt;62,D35,C35)</f>
        <v>96.15899999999999</v>
      </c>
      <c r="L35" s="8">
        <f>+IF(J35=0,0,K35)</f>
        <v>0</v>
      </c>
      <c r="M35" s="8">
        <f>+IF(B$60&lt;42,E35,L35)</f>
        <v>0</v>
      </c>
      <c r="N35" s="8">
        <f t="shared" si="38"/>
        <v>0</v>
      </c>
      <c r="O35" s="8">
        <f>+IF(N35=L35,50,40)</f>
        <v>50</v>
      </c>
      <c r="P35" s="9">
        <f>+IF(N35=0,0,O35)</f>
        <v>0</v>
      </c>
      <c r="Q35" s="10">
        <f t="shared" si="36"/>
        <v>0</v>
      </c>
    </row>
    <row r="36" spans="1:17" ht="12.75" customHeight="1" hidden="1">
      <c r="A36" s="36">
        <f t="shared" si="34"/>
        <v>41563</v>
      </c>
      <c r="B36" s="37">
        <f t="shared" si="34"/>
        <v>41627</v>
      </c>
      <c r="C36" s="7">
        <f t="shared" si="34"/>
        <v>94.605</v>
      </c>
      <c r="D36" s="7">
        <f t="shared" si="34"/>
        <v>76.15702499999999</v>
      </c>
      <c r="E36" s="7">
        <f t="shared" si="34"/>
        <v>77.885</v>
      </c>
      <c r="F36" s="7">
        <f t="shared" si="37"/>
        <v>-365</v>
      </c>
      <c r="G36" s="7">
        <f t="shared" si="37"/>
        <v>-301</v>
      </c>
      <c r="H36" s="7">
        <f t="shared" si="35"/>
        <v>0</v>
      </c>
      <c r="I36" s="7">
        <f t="shared" si="35"/>
        <v>0</v>
      </c>
      <c r="J36" s="7">
        <f>+IF(H36+I36=1,C36,0)</f>
        <v>0</v>
      </c>
      <c r="K36" s="7">
        <f>+IF(B$60&lt;62,D36,C36)</f>
        <v>94.605</v>
      </c>
      <c r="L36" s="8">
        <f>+IF(J36=0,0,K36)</f>
        <v>0</v>
      </c>
      <c r="M36" s="8">
        <f>+IF(B$60&lt;42,E36,L36)</f>
        <v>0</v>
      </c>
      <c r="N36" s="8">
        <f t="shared" si="38"/>
        <v>0</v>
      </c>
      <c r="O36" s="8">
        <f>+IF(N36=L36,50,40)</f>
        <v>50</v>
      </c>
      <c r="P36" s="9">
        <f>+IF(N36=0,0,O36)</f>
        <v>0</v>
      </c>
      <c r="Q36" s="10">
        <f t="shared" si="36"/>
        <v>0</v>
      </c>
    </row>
    <row r="37" spans="1:17" ht="12.75" customHeight="1" hidden="1">
      <c r="A37" s="36">
        <f t="shared" si="34"/>
        <v>41277</v>
      </c>
      <c r="B37" s="37">
        <f t="shared" si="34"/>
        <v>41333</v>
      </c>
      <c r="C37" s="7">
        <f t="shared" si="34"/>
        <v>122.68500000000002</v>
      </c>
      <c r="D37" s="7">
        <f t="shared" si="34"/>
        <v>98.761425</v>
      </c>
      <c r="E37" s="7">
        <f t="shared" si="34"/>
        <v>77.885</v>
      </c>
      <c r="F37" s="7">
        <f>+A37-$B$31</f>
        <v>-651</v>
      </c>
      <c r="G37" s="7">
        <f>+B37-$B$31</f>
        <v>-595</v>
      </c>
      <c r="H37" s="7">
        <f>+IF(F37&gt;0,1,0)</f>
        <v>0</v>
      </c>
      <c r="I37" s="7">
        <f>+IF(G37&gt;0,1,0)</f>
        <v>0</v>
      </c>
      <c r="J37" s="7">
        <f>+IF(H37+I37=1,C37,0)</f>
        <v>0</v>
      </c>
      <c r="K37" s="7">
        <f>+IF(B$60&lt;62,D37,C37)</f>
        <v>122.68500000000002</v>
      </c>
      <c r="L37" s="8">
        <f>+IF(J37=0,0,K37)</f>
        <v>0</v>
      </c>
      <c r="M37" s="8">
        <f>+IF(B$60&lt;42,E37,L37)</f>
        <v>0</v>
      </c>
      <c r="N37" s="8">
        <f t="shared" si="38"/>
        <v>0</v>
      </c>
      <c r="O37" s="8">
        <f>+IF(N37=L37,50,40)</f>
        <v>50</v>
      </c>
      <c r="P37" s="9">
        <f>+IF(N37=0,0,O37)</f>
        <v>0</v>
      </c>
      <c r="Q37" s="10">
        <f t="shared" si="36"/>
        <v>0</v>
      </c>
    </row>
    <row r="38" spans="1:17" ht="12.75" customHeight="1" hidden="1">
      <c r="A38" s="36">
        <f aca="true" t="shared" si="39" ref="A38:E49">+A18</f>
        <v>41642</v>
      </c>
      <c r="B38" s="37">
        <f t="shared" si="39"/>
        <v>41698</v>
      </c>
      <c r="C38" s="7">
        <f t="shared" si="39"/>
        <v>122.68500000000002</v>
      </c>
      <c r="D38" s="7">
        <f t="shared" si="39"/>
        <v>98.761425</v>
      </c>
      <c r="E38" s="7">
        <f t="shared" si="39"/>
        <v>77.885</v>
      </c>
      <c r="F38" s="7">
        <f aca="true" t="shared" si="40" ref="F38:F43">+A38-$B$31</f>
        <v>-286</v>
      </c>
      <c r="G38" s="7">
        <f aca="true" t="shared" si="41" ref="G38:G43">+B38-$B$31</f>
        <v>-230</v>
      </c>
      <c r="H38" s="7">
        <f aca="true" t="shared" si="42" ref="H38:H43">+IF(F38&gt;0,1,0)</f>
        <v>0</v>
      </c>
      <c r="I38" s="7">
        <f aca="true" t="shared" si="43" ref="I38:I43">+IF(G38&gt;0,1,0)</f>
        <v>0</v>
      </c>
      <c r="J38" s="7">
        <f aca="true" t="shared" si="44" ref="J38:J43">+IF(H38+I38=1,C38,0)</f>
        <v>0</v>
      </c>
      <c r="K38" s="7">
        <f aca="true" t="shared" si="45" ref="K38:K43">+IF(B$60&lt;62,D38,C38)</f>
        <v>122.68500000000002</v>
      </c>
      <c r="L38" s="8">
        <f aca="true" t="shared" si="46" ref="L38:L43">+IF(J38=0,0,K38)</f>
        <v>0</v>
      </c>
      <c r="M38" s="8">
        <f aca="true" t="shared" si="47" ref="M38:M43">+IF(B$60&lt;42,E38,L38)</f>
        <v>0</v>
      </c>
      <c r="N38" s="8">
        <f t="shared" si="38"/>
        <v>0</v>
      </c>
      <c r="O38" s="8">
        <f aca="true" t="shared" si="48" ref="O38:O43">+IF(N38=L38,50,40)</f>
        <v>50</v>
      </c>
      <c r="P38" s="9">
        <f aca="true" t="shared" si="49" ref="P38:P43">+IF(N38=0,0,O38)</f>
        <v>0</v>
      </c>
      <c r="Q38" s="10">
        <f t="shared" si="36"/>
        <v>0</v>
      </c>
    </row>
    <row r="39" spans="1:17" ht="12.75" customHeight="1" hidden="1">
      <c r="A39" s="36">
        <f t="shared" si="39"/>
        <v>41699</v>
      </c>
      <c r="B39" s="37">
        <f t="shared" si="39"/>
        <v>41805</v>
      </c>
      <c r="C39" s="7">
        <f t="shared" si="39"/>
        <v>96.15899999999999</v>
      </c>
      <c r="D39" s="7">
        <f t="shared" si="39"/>
        <v>77.40799499999999</v>
      </c>
      <c r="E39" s="7">
        <f t="shared" si="39"/>
        <v>79.439</v>
      </c>
      <c r="F39" s="7">
        <f t="shared" si="40"/>
        <v>-229</v>
      </c>
      <c r="G39" s="7">
        <f t="shared" si="41"/>
        <v>-123</v>
      </c>
      <c r="H39" s="7">
        <f t="shared" si="42"/>
        <v>0</v>
      </c>
      <c r="I39" s="7">
        <f t="shared" si="43"/>
        <v>0</v>
      </c>
      <c r="J39" s="7">
        <f t="shared" si="44"/>
        <v>0</v>
      </c>
      <c r="K39" s="7">
        <f t="shared" si="45"/>
        <v>96.15899999999999</v>
      </c>
      <c r="L39" s="8">
        <f t="shared" si="46"/>
        <v>0</v>
      </c>
      <c r="M39" s="8">
        <f t="shared" si="47"/>
        <v>0</v>
      </c>
      <c r="N39" s="8">
        <f t="shared" si="38"/>
        <v>0</v>
      </c>
      <c r="O39" s="8">
        <f t="shared" si="48"/>
        <v>50</v>
      </c>
      <c r="P39" s="9">
        <f t="shared" si="49"/>
        <v>0</v>
      </c>
      <c r="Q39" s="10">
        <f t="shared" si="36"/>
        <v>0</v>
      </c>
    </row>
    <row r="40" spans="1:17" ht="12.75" customHeight="1" hidden="1">
      <c r="A40" s="36">
        <f t="shared" si="39"/>
        <v>41806</v>
      </c>
      <c r="B40" s="37">
        <f t="shared" si="39"/>
        <v>41927</v>
      </c>
      <c r="C40" s="7">
        <f t="shared" si="39"/>
        <v>173.95139999999998</v>
      </c>
      <c r="D40" s="7">
        <f t="shared" si="39"/>
        <v>121.76597999999997</v>
      </c>
      <c r="E40" s="7">
        <f t="shared" si="39"/>
        <v>82.2362</v>
      </c>
      <c r="F40" s="7">
        <f t="shared" si="40"/>
        <v>-122</v>
      </c>
      <c r="G40" s="7">
        <f t="shared" si="41"/>
        <v>-1</v>
      </c>
      <c r="H40" s="7">
        <f t="shared" si="42"/>
        <v>0</v>
      </c>
      <c r="I40" s="7">
        <f t="shared" si="43"/>
        <v>0</v>
      </c>
      <c r="J40" s="7">
        <f t="shared" si="44"/>
        <v>0</v>
      </c>
      <c r="K40" s="7">
        <f t="shared" si="45"/>
        <v>173.95139999999998</v>
      </c>
      <c r="L40" s="8">
        <f t="shared" si="46"/>
        <v>0</v>
      </c>
      <c r="M40" s="8">
        <f t="shared" si="47"/>
        <v>0</v>
      </c>
      <c r="N40" s="8">
        <f t="shared" si="38"/>
        <v>0</v>
      </c>
      <c r="O40" s="8">
        <f t="shared" si="48"/>
        <v>50</v>
      </c>
      <c r="P40" s="9">
        <f t="shared" si="49"/>
        <v>0</v>
      </c>
      <c r="Q40" s="10">
        <f t="shared" si="36"/>
        <v>0</v>
      </c>
    </row>
    <row r="41" spans="1:17" ht="12.75" customHeight="1" hidden="1">
      <c r="A41" s="36">
        <f t="shared" si="39"/>
        <v>41928</v>
      </c>
      <c r="B41" s="37">
        <f t="shared" si="39"/>
        <v>41992</v>
      </c>
      <c r="C41" s="7">
        <f t="shared" si="39"/>
        <v>94.605</v>
      </c>
      <c r="D41" s="7">
        <f t="shared" si="39"/>
        <v>76.15702499999999</v>
      </c>
      <c r="E41" s="7">
        <f t="shared" si="39"/>
        <v>77.885</v>
      </c>
      <c r="F41" s="7">
        <f t="shared" si="40"/>
        <v>0</v>
      </c>
      <c r="G41" s="7">
        <f t="shared" si="41"/>
        <v>64</v>
      </c>
      <c r="H41" s="7">
        <f t="shared" si="42"/>
        <v>0</v>
      </c>
      <c r="I41" s="7">
        <f t="shared" si="43"/>
        <v>1</v>
      </c>
      <c r="J41" s="7">
        <f t="shared" si="44"/>
        <v>94.605</v>
      </c>
      <c r="K41" s="7">
        <f t="shared" si="45"/>
        <v>94.605</v>
      </c>
      <c r="L41" s="8">
        <f t="shared" si="46"/>
        <v>94.605</v>
      </c>
      <c r="M41" s="8">
        <f t="shared" si="47"/>
        <v>94.605</v>
      </c>
      <c r="N41" s="8">
        <f t="shared" si="38"/>
        <v>94.605</v>
      </c>
      <c r="O41" s="8">
        <f t="shared" si="48"/>
        <v>50</v>
      </c>
      <c r="P41" s="9">
        <f t="shared" si="49"/>
        <v>50</v>
      </c>
      <c r="Q41" s="10">
        <f t="shared" si="36"/>
        <v>41992</v>
      </c>
    </row>
    <row r="42" spans="1:17" ht="12.75" customHeight="1" hidden="1">
      <c r="A42" s="36">
        <f t="shared" si="39"/>
        <v>41993</v>
      </c>
      <c r="B42" s="37">
        <f t="shared" si="39"/>
        <v>42006</v>
      </c>
      <c r="C42" s="7">
        <f t="shared" si="39"/>
        <v>176.3601</v>
      </c>
      <c r="D42" s="7">
        <f t="shared" si="39"/>
        <v>123.45206999999998</v>
      </c>
      <c r="E42" s="7">
        <f t="shared" si="39"/>
        <v>84.6449</v>
      </c>
      <c r="F42" s="7">
        <f t="shared" si="40"/>
        <v>65</v>
      </c>
      <c r="G42" s="7">
        <f t="shared" si="41"/>
        <v>78</v>
      </c>
      <c r="H42" s="7">
        <f t="shared" si="42"/>
        <v>1</v>
      </c>
      <c r="I42" s="7">
        <f t="shared" si="43"/>
        <v>1</v>
      </c>
      <c r="J42" s="7">
        <f t="shared" si="44"/>
        <v>0</v>
      </c>
      <c r="K42" s="7">
        <f t="shared" si="45"/>
        <v>176.3601</v>
      </c>
      <c r="L42" s="8">
        <f t="shared" si="46"/>
        <v>0</v>
      </c>
      <c r="M42" s="8">
        <f t="shared" si="47"/>
        <v>0</v>
      </c>
      <c r="N42" s="8">
        <f t="shared" si="38"/>
        <v>0</v>
      </c>
      <c r="O42" s="8">
        <f t="shared" si="48"/>
        <v>50</v>
      </c>
      <c r="P42" s="9">
        <f t="shared" si="49"/>
        <v>0</v>
      </c>
      <c r="Q42" s="10">
        <f t="shared" si="36"/>
        <v>0</v>
      </c>
    </row>
    <row r="43" spans="1:17" ht="12.75" customHeight="1" hidden="1">
      <c r="A43" s="36">
        <f t="shared" si="39"/>
        <v>42007</v>
      </c>
      <c r="B43" s="37">
        <f t="shared" si="39"/>
        <v>42063</v>
      </c>
      <c r="C43" s="7">
        <f t="shared" si="39"/>
        <v>122.68500000000002</v>
      </c>
      <c r="D43" s="7">
        <f t="shared" si="39"/>
        <v>98.761425</v>
      </c>
      <c r="E43" s="7">
        <f t="shared" si="39"/>
        <v>77.885</v>
      </c>
      <c r="F43" s="7">
        <f t="shared" si="40"/>
        <v>79</v>
      </c>
      <c r="G43" s="7">
        <f t="shared" si="41"/>
        <v>135</v>
      </c>
      <c r="H43" s="7">
        <f t="shared" si="42"/>
        <v>1</v>
      </c>
      <c r="I43" s="7">
        <f t="shared" si="43"/>
        <v>1</v>
      </c>
      <c r="J43" s="7">
        <f t="shared" si="44"/>
        <v>0</v>
      </c>
      <c r="K43" s="7">
        <f t="shared" si="45"/>
        <v>122.68500000000002</v>
      </c>
      <c r="L43" s="8">
        <f t="shared" si="46"/>
        <v>0</v>
      </c>
      <c r="M43" s="8">
        <f t="shared" si="47"/>
        <v>0</v>
      </c>
      <c r="N43" s="8">
        <f t="shared" si="38"/>
        <v>0</v>
      </c>
      <c r="O43" s="8">
        <f t="shared" si="48"/>
        <v>50</v>
      </c>
      <c r="P43" s="9">
        <f t="shared" si="49"/>
        <v>0</v>
      </c>
      <c r="Q43" s="10">
        <f t="shared" si="36"/>
        <v>0</v>
      </c>
    </row>
    <row r="44" spans="1:17" ht="12.75" customHeight="1" hidden="1">
      <c r="A44" s="36">
        <f t="shared" si="39"/>
        <v>42064</v>
      </c>
      <c r="B44" s="37">
        <f t="shared" si="39"/>
        <v>42170</v>
      </c>
      <c r="C44" s="7">
        <f t="shared" si="39"/>
        <v>96.15899999999999</v>
      </c>
      <c r="D44" s="7">
        <f t="shared" si="39"/>
        <v>77.40799499999999</v>
      </c>
      <c r="E44" s="7">
        <f t="shared" si="39"/>
        <v>79.439</v>
      </c>
      <c r="F44" s="7">
        <f aca="true" t="shared" si="50" ref="F44:F49">+A44-$B$31</f>
        <v>136</v>
      </c>
      <c r="G44" s="7">
        <f aca="true" t="shared" si="51" ref="G44:G49">+B44-$B$31</f>
        <v>242</v>
      </c>
      <c r="H44" s="7">
        <f aca="true" t="shared" si="52" ref="H44:H49">+IF(F44&gt;0,1,0)</f>
        <v>1</v>
      </c>
      <c r="I44" s="7">
        <f aca="true" t="shared" si="53" ref="I44:I49">+IF(G44&gt;0,1,0)</f>
        <v>1</v>
      </c>
      <c r="J44" s="7">
        <f aca="true" t="shared" si="54" ref="J44:J49">+IF(H44+I44=1,C44,0)</f>
        <v>0</v>
      </c>
      <c r="K44" s="7">
        <f aca="true" t="shared" si="55" ref="K44:K49">+IF(B$60&lt;62,D44,C44)</f>
        <v>96.15899999999999</v>
      </c>
      <c r="L44" s="8">
        <f aca="true" t="shared" si="56" ref="L44:L49">+IF(J44=0,0,K44)</f>
        <v>0</v>
      </c>
      <c r="M44" s="8">
        <f aca="true" t="shared" si="57" ref="M44:M49">+IF(B$60&lt;42,E44,L44)</f>
        <v>0</v>
      </c>
      <c r="N44" s="8">
        <f aca="true" t="shared" si="58" ref="N44:N49">+IF(M44&gt;L44+3,L44,M44)</f>
        <v>0</v>
      </c>
      <c r="O44" s="8">
        <f aca="true" t="shared" si="59" ref="O44:O49">+IF(N44=L44,50,40)</f>
        <v>50</v>
      </c>
      <c r="P44" s="9">
        <f aca="true" t="shared" si="60" ref="P44:P49">+IF(N44=0,0,O44)</f>
        <v>0</v>
      </c>
      <c r="Q44" s="10">
        <f aca="true" t="shared" si="61" ref="Q44:Q49">+IF(N44=0,0,B44)</f>
        <v>0</v>
      </c>
    </row>
    <row r="45" spans="1:17" ht="12.75" customHeight="1" hidden="1">
      <c r="A45" s="36">
        <f t="shared" si="39"/>
        <v>42171</v>
      </c>
      <c r="B45" s="37">
        <f t="shared" si="39"/>
        <v>42292</v>
      </c>
      <c r="C45" s="7">
        <f t="shared" si="39"/>
        <v>173.95139999999998</v>
      </c>
      <c r="D45" s="7">
        <f t="shared" si="39"/>
        <v>121.76597999999997</v>
      </c>
      <c r="E45" s="7">
        <f t="shared" si="39"/>
        <v>79.439</v>
      </c>
      <c r="F45" s="7">
        <f t="shared" si="50"/>
        <v>243</v>
      </c>
      <c r="G45" s="7">
        <f t="shared" si="51"/>
        <v>364</v>
      </c>
      <c r="H45" s="7">
        <f t="shared" si="52"/>
        <v>1</v>
      </c>
      <c r="I45" s="7">
        <f t="shared" si="53"/>
        <v>1</v>
      </c>
      <c r="J45" s="7">
        <f t="shared" si="54"/>
        <v>0</v>
      </c>
      <c r="K45" s="7">
        <f t="shared" si="55"/>
        <v>173.95139999999998</v>
      </c>
      <c r="L45" s="8">
        <f t="shared" si="56"/>
        <v>0</v>
      </c>
      <c r="M45" s="8">
        <f t="shared" si="57"/>
        <v>0</v>
      </c>
      <c r="N45" s="8">
        <f t="shared" si="58"/>
        <v>0</v>
      </c>
      <c r="O45" s="8">
        <f t="shared" si="59"/>
        <v>50</v>
      </c>
      <c r="P45" s="9">
        <f t="shared" si="60"/>
        <v>0</v>
      </c>
      <c r="Q45" s="10">
        <f t="shared" si="61"/>
        <v>0</v>
      </c>
    </row>
    <row r="46" spans="1:17" ht="12.75" customHeight="1" hidden="1">
      <c r="A46" s="36">
        <f t="shared" si="39"/>
        <v>42293</v>
      </c>
      <c r="B46" s="37">
        <f t="shared" si="39"/>
        <v>42357</v>
      </c>
      <c r="C46" s="7">
        <f t="shared" si="39"/>
        <v>94.605</v>
      </c>
      <c r="D46" s="7">
        <f t="shared" si="39"/>
        <v>76.15702499999999</v>
      </c>
      <c r="E46" s="7">
        <f t="shared" si="39"/>
        <v>77.885</v>
      </c>
      <c r="F46" s="7">
        <f t="shared" si="50"/>
        <v>365</v>
      </c>
      <c r="G46" s="7">
        <f t="shared" si="51"/>
        <v>429</v>
      </c>
      <c r="H46" s="7">
        <f t="shared" si="52"/>
        <v>1</v>
      </c>
      <c r="I46" s="7">
        <f t="shared" si="53"/>
        <v>1</v>
      </c>
      <c r="J46" s="7">
        <f t="shared" si="54"/>
        <v>0</v>
      </c>
      <c r="K46" s="7">
        <f t="shared" si="55"/>
        <v>94.605</v>
      </c>
      <c r="L46" s="8">
        <f t="shared" si="56"/>
        <v>0</v>
      </c>
      <c r="M46" s="8">
        <f t="shared" si="57"/>
        <v>0</v>
      </c>
      <c r="N46" s="8">
        <f t="shared" si="58"/>
        <v>0</v>
      </c>
      <c r="O46" s="8">
        <f t="shared" si="59"/>
        <v>50</v>
      </c>
      <c r="P46" s="9">
        <f t="shared" si="60"/>
        <v>0</v>
      </c>
      <c r="Q46" s="10">
        <f t="shared" si="61"/>
        <v>0</v>
      </c>
    </row>
    <row r="47" spans="1:17" ht="12.75" customHeight="1" hidden="1">
      <c r="A47" s="36">
        <f t="shared" si="39"/>
        <v>42358</v>
      </c>
      <c r="B47" s="37">
        <f t="shared" si="39"/>
        <v>42371</v>
      </c>
      <c r="C47" s="7">
        <f t="shared" si="39"/>
        <v>176.3601</v>
      </c>
      <c r="D47" s="7">
        <f t="shared" si="39"/>
        <v>123.45206999999998</v>
      </c>
      <c r="E47" s="7">
        <f t="shared" si="39"/>
        <v>77.885</v>
      </c>
      <c r="F47" s="7">
        <f t="shared" si="50"/>
        <v>430</v>
      </c>
      <c r="G47" s="7">
        <f t="shared" si="51"/>
        <v>443</v>
      </c>
      <c r="H47" s="7">
        <f t="shared" si="52"/>
        <v>1</v>
      </c>
      <c r="I47" s="7">
        <f t="shared" si="53"/>
        <v>1</v>
      </c>
      <c r="J47" s="7">
        <f t="shared" si="54"/>
        <v>0</v>
      </c>
      <c r="K47" s="7">
        <f t="shared" si="55"/>
        <v>176.3601</v>
      </c>
      <c r="L47" s="8">
        <f t="shared" si="56"/>
        <v>0</v>
      </c>
      <c r="M47" s="8">
        <f t="shared" si="57"/>
        <v>0</v>
      </c>
      <c r="N47" s="8">
        <f t="shared" si="58"/>
        <v>0</v>
      </c>
      <c r="O47" s="8">
        <f t="shared" si="59"/>
        <v>50</v>
      </c>
      <c r="P47" s="9">
        <f t="shared" si="60"/>
        <v>0</v>
      </c>
      <c r="Q47" s="10">
        <f t="shared" si="61"/>
        <v>0</v>
      </c>
    </row>
    <row r="48" spans="1:17" ht="12.75" customHeight="1" hidden="1">
      <c r="A48" s="36">
        <f t="shared" si="39"/>
        <v>42372</v>
      </c>
      <c r="B48" s="37">
        <f t="shared" si="39"/>
        <v>42428</v>
      </c>
      <c r="C48" s="7">
        <f t="shared" si="39"/>
        <v>122.68500000000002</v>
      </c>
      <c r="D48" s="7">
        <f t="shared" si="39"/>
        <v>98.761425</v>
      </c>
      <c r="E48" s="7">
        <f t="shared" si="39"/>
        <v>84.6449</v>
      </c>
      <c r="F48" s="7">
        <f t="shared" si="50"/>
        <v>444</v>
      </c>
      <c r="G48" s="7">
        <f t="shared" si="51"/>
        <v>500</v>
      </c>
      <c r="H48" s="7">
        <f t="shared" si="52"/>
        <v>1</v>
      </c>
      <c r="I48" s="7">
        <f t="shared" si="53"/>
        <v>1</v>
      </c>
      <c r="J48" s="7">
        <f t="shared" si="54"/>
        <v>0</v>
      </c>
      <c r="K48" s="7">
        <f t="shared" si="55"/>
        <v>122.68500000000002</v>
      </c>
      <c r="L48" s="8">
        <f t="shared" si="56"/>
        <v>0</v>
      </c>
      <c r="M48" s="8">
        <f t="shared" si="57"/>
        <v>0</v>
      </c>
      <c r="N48" s="8">
        <f t="shared" si="58"/>
        <v>0</v>
      </c>
      <c r="O48" s="8">
        <f t="shared" si="59"/>
        <v>50</v>
      </c>
      <c r="P48" s="9">
        <f t="shared" si="60"/>
        <v>0</v>
      </c>
      <c r="Q48" s="10">
        <f t="shared" si="61"/>
        <v>0</v>
      </c>
    </row>
    <row r="49" spans="1:17" ht="12.75" customHeight="1" hidden="1">
      <c r="A49" s="36">
        <f t="shared" si="39"/>
        <v>42429</v>
      </c>
      <c r="B49" s="37">
        <f t="shared" si="39"/>
        <v>42535</v>
      </c>
      <c r="C49" s="7">
        <f t="shared" si="39"/>
        <v>96.15899999999999</v>
      </c>
      <c r="D49" s="7">
        <f t="shared" si="39"/>
        <v>77.40799499999999</v>
      </c>
      <c r="E49" s="7">
        <f t="shared" si="39"/>
        <v>82.2362</v>
      </c>
      <c r="F49" s="7">
        <f t="shared" si="50"/>
        <v>501</v>
      </c>
      <c r="G49" s="7">
        <f t="shared" si="51"/>
        <v>607</v>
      </c>
      <c r="H49" s="7">
        <f t="shared" si="52"/>
        <v>1</v>
      </c>
      <c r="I49" s="7">
        <f t="shared" si="53"/>
        <v>1</v>
      </c>
      <c r="J49" s="7">
        <f t="shared" si="54"/>
        <v>0</v>
      </c>
      <c r="K49" s="7">
        <f t="shared" si="55"/>
        <v>96.15899999999999</v>
      </c>
      <c r="L49" s="8">
        <f t="shared" si="56"/>
        <v>0</v>
      </c>
      <c r="M49" s="8">
        <f t="shared" si="57"/>
        <v>0</v>
      </c>
      <c r="N49" s="8">
        <f t="shared" si="58"/>
        <v>0</v>
      </c>
      <c r="O49" s="8">
        <f t="shared" si="59"/>
        <v>50</v>
      </c>
      <c r="P49" s="9">
        <f t="shared" si="60"/>
        <v>0</v>
      </c>
      <c r="Q49" s="10">
        <f t="shared" si="61"/>
        <v>0</v>
      </c>
    </row>
    <row r="50" spans="1:17" ht="13.5" customHeight="1" hidden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>
        <f>SUM(M33:M43)</f>
        <v>94.605</v>
      </c>
      <c r="N50" s="13">
        <f>SUM(N33:N43)</f>
        <v>94.605</v>
      </c>
      <c r="O50" s="13"/>
      <c r="P50" s="15">
        <f>SUM(P33:P43)</f>
        <v>50</v>
      </c>
      <c r="Q50" s="15"/>
    </row>
    <row r="51" spans="1:17" ht="12.75" customHeight="1" hidden="1">
      <c r="A51" s="1"/>
      <c r="B51" s="1"/>
      <c r="C51" s="1"/>
      <c r="D51" s="1"/>
      <c r="E51" s="1"/>
      <c r="F51" s="18" t="s">
        <v>9</v>
      </c>
      <c r="G51" s="18"/>
      <c r="H51" s="18" t="s">
        <v>10</v>
      </c>
      <c r="I51" s="18"/>
      <c r="J51" s="1"/>
      <c r="K51" s="1"/>
      <c r="L51" s="1"/>
      <c r="M51" s="1"/>
      <c r="N51" s="1"/>
      <c r="O51" s="1"/>
      <c r="P51" s="1"/>
      <c r="Q51" s="1"/>
    </row>
    <row r="52" spans="1:17" ht="12.75" customHeight="1" hidden="1">
      <c r="A52" s="19" t="s">
        <v>30</v>
      </c>
      <c r="B52" s="17" t="s">
        <v>49</v>
      </c>
      <c r="C52" s="1"/>
      <c r="D52" s="1" t="s">
        <v>31</v>
      </c>
      <c r="F52" s="20" t="s">
        <v>32</v>
      </c>
      <c r="G52" s="20" t="s">
        <v>33</v>
      </c>
      <c r="H52" s="18" t="s">
        <v>32</v>
      </c>
      <c r="I52" s="18" t="s">
        <v>33</v>
      </c>
      <c r="J52" s="1"/>
      <c r="K52" s="1"/>
      <c r="L52" s="1"/>
      <c r="M52" s="1"/>
      <c r="N52" s="1"/>
      <c r="O52" s="1"/>
      <c r="P52" s="1"/>
      <c r="Q52" s="1"/>
    </row>
    <row r="53" spans="1:17" ht="12.75" customHeight="1" hidden="1">
      <c r="A53" s="19" t="s">
        <v>34</v>
      </c>
      <c r="B53" s="21">
        <f>+C53*D53</f>
        <v>165.71519999999998</v>
      </c>
      <c r="C53" s="22">
        <f>1+C$60</f>
        <v>1.08</v>
      </c>
      <c r="D53" s="21">
        <f>+E53*K53</f>
        <v>153.43999999999997</v>
      </c>
      <c r="E53">
        <f>+U13</f>
        <v>13.7</v>
      </c>
      <c r="F53" s="20">
        <f>+B53</f>
        <v>165.71519999999998</v>
      </c>
      <c r="G53" s="23">
        <f>+F53*(1+$X14)</f>
        <v>214.179079245283</v>
      </c>
      <c r="H53" s="20">
        <f>+D14</f>
        <v>121.76597999999997</v>
      </c>
      <c r="I53" s="23">
        <f>+H53*(1+$X14)</f>
        <v>157.37678547169807</v>
      </c>
      <c r="J53" s="1"/>
      <c r="K53" s="1">
        <v>11.2</v>
      </c>
      <c r="L53" s="1"/>
      <c r="M53" s="101">
        <f>+E53*8*(1+$S$31)</f>
        <v>121.76559999999999</v>
      </c>
      <c r="N53" s="21">
        <f>+B53-M53</f>
        <v>43.94959999999999</v>
      </c>
      <c r="O53" s="24">
        <f>+N53/B53</f>
        <v>0.2652116402116402</v>
      </c>
      <c r="P53" s="1"/>
      <c r="Q53" s="1"/>
    </row>
    <row r="54" spans="1:17" ht="12.75" customHeight="1" hidden="1">
      <c r="A54" s="19" t="s">
        <v>35</v>
      </c>
      <c r="B54" s="21">
        <f>+C54*D54</f>
        <v>90.72</v>
      </c>
      <c r="C54" s="22">
        <f>+C53</f>
        <v>1.08</v>
      </c>
      <c r="D54" s="21">
        <f>+E54*K54</f>
        <v>84</v>
      </c>
      <c r="E54" s="1">
        <f>+U15</f>
        <v>7</v>
      </c>
      <c r="F54" s="20">
        <f>+B54</f>
        <v>90.72</v>
      </c>
      <c r="G54" s="23">
        <f>+F54*(1+$X15)</f>
        <v>149.04</v>
      </c>
      <c r="H54" s="20">
        <f>+D15</f>
        <v>77.40799499999999</v>
      </c>
      <c r="I54" s="23">
        <f>+H54*(1+$X15)</f>
        <v>127.17027749999997</v>
      </c>
      <c r="J54" s="1"/>
      <c r="K54" s="1">
        <v>12</v>
      </c>
      <c r="L54" s="1"/>
      <c r="M54" s="101">
        <f>+E54*8*(1+$S$31)</f>
        <v>62.216</v>
      </c>
      <c r="N54" s="21">
        <f>+B54-M54</f>
        <v>28.503999999999998</v>
      </c>
      <c r="O54" s="24">
        <f>+N54/B54</f>
        <v>0.3141975308641975</v>
      </c>
      <c r="P54" s="1"/>
      <c r="Q54" s="1"/>
    </row>
    <row r="55" spans="1:17" ht="12.75" customHeight="1" hidden="1">
      <c r="A55" s="19" t="s">
        <v>36</v>
      </c>
      <c r="B55" s="21">
        <f>+C55*D55</f>
        <v>118.80000000000001</v>
      </c>
      <c r="C55" s="22">
        <f>+C54</f>
        <v>1.08</v>
      </c>
      <c r="D55" s="21">
        <f>+E55*K55</f>
        <v>110</v>
      </c>
      <c r="E55" s="1">
        <f>+U17</f>
        <v>5</v>
      </c>
      <c r="F55" s="20">
        <f>+B55</f>
        <v>118.80000000000001</v>
      </c>
      <c r="G55" s="23">
        <f>+F55*(1+$X16)</f>
        <v>201.96</v>
      </c>
      <c r="H55" s="20">
        <f>+D16</f>
        <v>76.15702499999999</v>
      </c>
      <c r="I55" s="23">
        <f>+H55*(1+$X16)</f>
        <v>129.4669425</v>
      </c>
      <c r="J55" s="1"/>
      <c r="K55" s="1">
        <v>22</v>
      </c>
      <c r="L55" s="1"/>
      <c r="M55" s="101">
        <f>+E55*8*(1+$S$31)</f>
        <v>44.44</v>
      </c>
      <c r="N55" s="21">
        <f>+B55-M55</f>
        <v>74.36000000000001</v>
      </c>
      <c r="O55" s="24">
        <f>+N55/B55</f>
        <v>0.625925925925926</v>
      </c>
      <c r="P55" s="1"/>
      <c r="Q55" s="1"/>
    </row>
    <row r="56" spans="1:17" ht="12.75" customHeight="1" hidden="1">
      <c r="A56" s="19" t="s">
        <v>37</v>
      </c>
      <c r="B56" s="21">
        <f>+C56*D56</f>
        <v>0</v>
      </c>
      <c r="C56" s="1"/>
      <c r="D56" s="1"/>
      <c r="E56" s="1"/>
      <c r="F56" s="21"/>
      <c r="G56" s="21"/>
      <c r="H56" s="1"/>
      <c r="I56" s="1"/>
      <c r="J56" s="1"/>
      <c r="K56" s="1" t="s">
        <v>6</v>
      </c>
      <c r="L56" s="1"/>
      <c r="M56" s="1"/>
      <c r="N56" s="1"/>
      <c r="O56" s="1"/>
      <c r="P56" s="1"/>
      <c r="Q56" s="1"/>
    </row>
    <row r="57" spans="1:17" ht="12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hidden="1">
      <c r="A58" s="1" t="s">
        <v>38</v>
      </c>
      <c r="B58" s="1">
        <v>74</v>
      </c>
      <c r="C58" s="1"/>
      <c r="D58" s="1"/>
      <c r="E58" s="1">
        <f>50/2</f>
        <v>25</v>
      </c>
      <c r="F58" s="1"/>
      <c r="G58" s="1"/>
      <c r="H58" s="1"/>
      <c r="I58" s="1"/>
      <c r="J58" s="1"/>
      <c r="K58" s="1"/>
      <c r="L58" s="1"/>
      <c r="M58" s="1">
        <f>+E58</f>
        <v>25</v>
      </c>
      <c r="N58" s="21">
        <f>+B58-M58</f>
        <v>49</v>
      </c>
      <c r="O58" s="24">
        <f>+N58/B58</f>
        <v>0.6621621621621622</v>
      </c>
      <c r="P58" s="1"/>
      <c r="Q58" s="1"/>
    </row>
    <row r="59" spans="1:17" ht="12.75" customHeight="1" hidden="1">
      <c r="A59" s="1"/>
      <c r="B59" s="1"/>
      <c r="C59" s="1" t="s">
        <v>39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hidden="1">
      <c r="A60" s="1"/>
      <c r="B60" s="21">
        <f>+B2-A61</f>
        <v>333</v>
      </c>
      <c r="C60" s="3">
        <v>0.08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7">
        <f ca="1">+TODAY()</f>
        <v>41488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sheetProtection password="CCC0" sheet="1" selectLockedCells="1"/>
  <mergeCells count="7">
    <mergeCell ref="A12:K12"/>
    <mergeCell ref="O11:W11"/>
    <mergeCell ref="AX1:AZ1"/>
    <mergeCell ref="A1:C1"/>
    <mergeCell ref="E1:K1"/>
    <mergeCell ref="M1:V1"/>
    <mergeCell ref="AV1:AW1"/>
  </mergeCells>
  <conditionalFormatting sqref="U2">
    <cfRule type="cellIs" priority="1" dxfId="0" operator="lessThan" stopIfTrue="1">
      <formula>20</formula>
    </cfRule>
  </conditionalFormatting>
  <hyperlinks>
    <hyperlink ref="A1:C1" r:id="rId1" display="http://www.beachcomberoceanshores.co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"/>
  <sheetViews>
    <sheetView zoomScalePageLayoutView="0" workbookViewId="0" topLeftCell="A1">
      <selection activeCell="C14" activeCellId="1" sqref="U6 C14"/>
    </sheetView>
  </sheetViews>
  <sheetFormatPr defaultColWidth="9.140625" defaultRowHeight="12.75"/>
  <cols>
    <col min="2" max="2" width="19.00390625" style="0" customWidth="1"/>
    <col min="3" max="3" width="23.28125" style="0" customWidth="1"/>
    <col min="4" max="4" width="11.00390625" style="0" customWidth="1"/>
    <col min="5" max="6" width="12.421875" style="0" customWidth="1"/>
    <col min="8" max="8" width="37.7109375" style="0" customWidth="1"/>
    <col min="9" max="9" width="9.28125" style="0" customWidth="1"/>
    <col min="10" max="10" width="3.57421875" style="0" customWidth="1"/>
    <col min="11" max="11" width="9.28125" style="0" customWidth="1"/>
  </cols>
  <sheetData>
    <row r="2" spans="2:6" ht="26.25">
      <c r="B2" s="125"/>
      <c r="C2" s="125"/>
      <c r="D2" s="126"/>
      <c r="E2" s="126"/>
      <c r="F2" s="126"/>
    </row>
    <row r="3" spans="2:6" ht="18">
      <c r="B3" s="25"/>
      <c r="C3" s="25"/>
      <c r="D3" s="25"/>
      <c r="E3" s="25"/>
      <c r="F3" s="25"/>
    </row>
    <row r="4" spans="2:11" ht="18">
      <c r="B4" s="26"/>
      <c r="C4" s="26"/>
      <c r="D4" s="27"/>
      <c r="E4" s="27"/>
      <c r="F4" s="27"/>
      <c r="H4" s="28"/>
      <c r="I4" s="29"/>
      <c r="J4" s="30"/>
      <c r="K4" s="29"/>
    </row>
    <row r="5" spans="2:11" ht="18">
      <c r="B5" s="26"/>
      <c r="C5" s="26"/>
      <c r="D5" s="27"/>
      <c r="E5" s="27"/>
      <c r="F5" s="27"/>
      <c r="H5" s="31"/>
      <c r="I5" s="29"/>
      <c r="J5" s="30"/>
      <c r="K5" s="29"/>
    </row>
    <row r="6" spans="2:11" ht="18">
      <c r="B6" s="26"/>
      <c r="C6" s="26"/>
      <c r="D6" s="27"/>
      <c r="E6" s="27"/>
      <c r="F6" s="27"/>
      <c r="H6" s="31"/>
      <c r="I6" s="29"/>
      <c r="J6" s="30"/>
      <c r="K6" s="29"/>
    </row>
    <row r="7" spans="2:6" ht="18">
      <c r="B7" s="26"/>
      <c r="C7" s="26"/>
      <c r="D7" s="27"/>
      <c r="E7" s="27"/>
      <c r="F7" s="27"/>
    </row>
    <row r="8" spans="2:6" ht="18">
      <c r="B8" s="26"/>
      <c r="C8" s="26"/>
      <c r="D8" s="27"/>
      <c r="E8" s="27"/>
      <c r="F8" s="27"/>
    </row>
  </sheetData>
  <sheetProtection selectLockedCells="1" selectUnlockedCells="1"/>
  <mergeCells count="2">
    <mergeCell ref="B2:C2"/>
    <mergeCell ref="D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U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POINT BROWN  RESORT Ocean Shores Discount Timeshare Rentals bcs.xls</dc:title>
  <dc:subject/>
  <dc:creator/>
  <cp:keywords/>
  <dc:description/>
  <cp:lastModifiedBy>Rick</cp:lastModifiedBy>
  <dcterms:created xsi:type="dcterms:W3CDTF">2012-01-27T01:04:37Z</dcterms:created>
  <dcterms:modified xsi:type="dcterms:W3CDTF">2013-08-03T00:54:27Z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